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o\Desktop\"/>
    </mc:Choice>
  </mc:AlternateContent>
  <xr:revisionPtr revIDLastSave="0" documentId="13_ncr:1_{BBF8CDDE-CE2A-4DAC-B030-9D63394CC43E}" xr6:coauthVersionLast="46" xr6:coauthVersionMax="46" xr10:uidLastSave="{00000000-0000-0000-0000-000000000000}"/>
  <bookViews>
    <workbookView xWindow="-120" yWindow="-120" windowWidth="38640" windowHeight="15840" xr2:uid="{D181E64E-5FAC-4B1E-A9E6-E1F00B399A48}"/>
  </bookViews>
  <sheets>
    <sheet name="Planilha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I30" i="1" l="1"/>
  <c r="ED30" i="1"/>
  <c r="DY30" i="1"/>
  <c r="DT30" i="1"/>
  <c r="DO30" i="1"/>
  <c r="DJ30" i="1"/>
  <c r="DE30" i="1"/>
  <c r="CZ30" i="1"/>
  <c r="CU30" i="1"/>
  <c r="CP30" i="1"/>
  <c r="CK30" i="1"/>
  <c r="CF30" i="1"/>
  <c r="CA30" i="1"/>
  <c r="BV30" i="1"/>
  <c r="BQ30" i="1"/>
  <c r="BL30" i="1"/>
  <c r="BG30" i="1"/>
  <c r="BB30" i="1"/>
  <c r="AW30" i="1"/>
  <c r="AR30" i="1"/>
  <c r="AM30" i="1"/>
  <c r="AH30" i="1"/>
  <c r="AC30" i="1"/>
  <c r="X30" i="1"/>
  <c r="S30" i="1"/>
  <c r="EI29" i="1"/>
  <c r="ED29" i="1"/>
  <c r="DY29" i="1"/>
  <c r="DT29" i="1"/>
  <c r="DO29" i="1"/>
  <c r="DJ29" i="1"/>
  <c r="DE29" i="1"/>
  <c r="CZ29" i="1"/>
  <c r="CU29" i="1"/>
  <c r="CP29" i="1"/>
  <c r="CK29" i="1"/>
  <c r="CF29" i="1"/>
  <c r="CA29" i="1"/>
  <c r="BV29" i="1"/>
  <c r="BQ29" i="1"/>
  <c r="BL29" i="1"/>
  <c r="BG29" i="1"/>
  <c r="BB29" i="1"/>
  <c r="AW29" i="1"/>
  <c r="AR29" i="1"/>
  <c r="AM29" i="1"/>
  <c r="AH29" i="1"/>
  <c r="AC29" i="1"/>
  <c r="X29" i="1"/>
  <c r="S29" i="1"/>
  <c r="EI28" i="1"/>
  <c r="ED28" i="1"/>
  <c r="DY28" i="1"/>
  <c r="DT28" i="1"/>
  <c r="DO28" i="1"/>
  <c r="DJ28" i="1"/>
  <c r="DE28" i="1"/>
  <c r="CZ28" i="1"/>
  <c r="CU28" i="1"/>
  <c r="CP28" i="1"/>
  <c r="CK28" i="1"/>
  <c r="CF28" i="1"/>
  <c r="CA28" i="1"/>
  <c r="BV28" i="1"/>
  <c r="BQ28" i="1"/>
  <c r="BL28" i="1"/>
  <c r="BG28" i="1"/>
  <c r="BB28" i="1"/>
  <c r="AW28" i="1"/>
  <c r="AR28" i="1"/>
  <c r="AM28" i="1"/>
  <c r="AH28" i="1"/>
  <c r="AC28" i="1"/>
  <c r="X28" i="1"/>
  <c r="S28" i="1"/>
  <c r="EI27" i="1"/>
  <c r="ED27" i="1"/>
  <c r="DY27" i="1"/>
  <c r="DT27" i="1"/>
  <c r="DO27" i="1"/>
  <c r="DJ27" i="1"/>
  <c r="DE27" i="1"/>
  <c r="CZ27" i="1"/>
  <c r="CU27" i="1"/>
  <c r="CP27" i="1"/>
  <c r="CK27" i="1"/>
  <c r="CF27" i="1"/>
  <c r="CA27" i="1"/>
  <c r="BV27" i="1"/>
  <c r="BQ27" i="1"/>
  <c r="BL27" i="1"/>
  <c r="BG27" i="1"/>
  <c r="BB27" i="1"/>
  <c r="AW27" i="1"/>
  <c r="AR27" i="1"/>
  <c r="AM27" i="1"/>
  <c r="AH27" i="1"/>
  <c r="AC27" i="1"/>
  <c r="X27" i="1"/>
  <c r="S27" i="1"/>
  <c r="EI26" i="1"/>
  <c r="ED26" i="1"/>
  <c r="DY26" i="1"/>
  <c r="DT26" i="1"/>
  <c r="DO26" i="1"/>
  <c r="DJ26" i="1"/>
  <c r="DE26" i="1"/>
  <c r="CZ26" i="1"/>
  <c r="CU26" i="1"/>
  <c r="CP26" i="1"/>
  <c r="CK26" i="1"/>
  <c r="CF26" i="1"/>
  <c r="CA26" i="1"/>
  <c r="BV26" i="1"/>
  <c r="BQ26" i="1"/>
  <c r="BL26" i="1"/>
  <c r="BG26" i="1"/>
  <c r="BB26" i="1"/>
  <c r="AW26" i="1"/>
  <c r="AR26" i="1"/>
  <c r="AM26" i="1"/>
  <c r="AH26" i="1"/>
  <c r="AC26" i="1"/>
  <c r="X26" i="1"/>
  <c r="S26" i="1"/>
  <c r="EI25" i="1"/>
  <c r="ED25" i="1"/>
  <c r="DY25" i="1"/>
  <c r="DT25" i="1"/>
  <c r="DO25" i="1"/>
  <c r="DJ25" i="1"/>
  <c r="DE25" i="1"/>
  <c r="CZ25" i="1"/>
  <c r="CU25" i="1"/>
  <c r="CP25" i="1"/>
  <c r="CK25" i="1"/>
  <c r="CF25" i="1"/>
  <c r="CA25" i="1"/>
  <c r="BV25" i="1"/>
  <c r="BQ25" i="1"/>
  <c r="BL25" i="1"/>
  <c r="BG25" i="1"/>
  <c r="BB25" i="1"/>
  <c r="AW25" i="1"/>
  <c r="AR25" i="1"/>
  <c r="AM25" i="1"/>
  <c r="AH25" i="1"/>
  <c r="AC25" i="1"/>
  <c r="X25" i="1"/>
  <c r="S25" i="1"/>
  <c r="EI24" i="1"/>
  <c r="ED24" i="1"/>
  <c r="DY24" i="1"/>
  <c r="DT24" i="1"/>
  <c r="DO24" i="1"/>
  <c r="DJ24" i="1"/>
  <c r="DE24" i="1"/>
  <c r="CZ24" i="1"/>
  <c r="CU24" i="1"/>
  <c r="CP24" i="1"/>
  <c r="CK24" i="1"/>
  <c r="CF24" i="1"/>
  <c r="CA24" i="1"/>
  <c r="BV24" i="1"/>
  <c r="BQ24" i="1"/>
  <c r="BL24" i="1"/>
  <c r="BG24" i="1"/>
  <c r="BB24" i="1"/>
  <c r="AW24" i="1"/>
  <c r="AR24" i="1"/>
  <c r="AM24" i="1"/>
  <c r="AH24" i="1"/>
  <c r="AC24" i="1"/>
  <c r="X24" i="1"/>
  <c r="S24" i="1"/>
  <c r="EI23" i="1"/>
  <c r="ED23" i="1"/>
  <c r="DY23" i="1"/>
  <c r="DT23" i="1"/>
  <c r="DO23" i="1"/>
  <c r="DJ23" i="1"/>
  <c r="DE23" i="1"/>
  <c r="CZ23" i="1"/>
  <c r="CU23" i="1"/>
  <c r="CP23" i="1"/>
  <c r="CK23" i="1"/>
  <c r="CF23" i="1"/>
  <c r="CA23" i="1"/>
  <c r="BV23" i="1"/>
  <c r="BQ23" i="1"/>
  <c r="BL23" i="1"/>
  <c r="BG23" i="1"/>
  <c r="BB23" i="1"/>
  <c r="AW23" i="1"/>
  <c r="AR23" i="1"/>
  <c r="AM23" i="1"/>
  <c r="AH23" i="1"/>
  <c r="AC23" i="1"/>
  <c r="X23" i="1"/>
  <c r="S23" i="1"/>
  <c r="EI22" i="1"/>
  <c r="ED22" i="1"/>
  <c r="DY22" i="1"/>
  <c r="DT22" i="1"/>
  <c r="DO22" i="1"/>
  <c r="DJ22" i="1"/>
  <c r="DE22" i="1"/>
  <c r="CZ22" i="1"/>
  <c r="CU22" i="1"/>
  <c r="CP22" i="1"/>
  <c r="CK22" i="1"/>
  <c r="CF22" i="1"/>
  <c r="CA22" i="1"/>
  <c r="BV22" i="1"/>
  <c r="BQ22" i="1"/>
  <c r="BL22" i="1"/>
  <c r="BG22" i="1"/>
  <c r="BB22" i="1"/>
  <c r="AW22" i="1"/>
  <c r="AR22" i="1"/>
  <c r="AM22" i="1"/>
  <c r="AH22" i="1"/>
  <c r="AC22" i="1"/>
  <c r="X22" i="1"/>
  <c r="S22" i="1"/>
  <c r="EI21" i="1"/>
  <c r="ED21" i="1"/>
  <c r="DY21" i="1"/>
  <c r="DT21" i="1"/>
  <c r="DO21" i="1"/>
  <c r="DJ21" i="1"/>
  <c r="DE21" i="1"/>
  <c r="CZ21" i="1"/>
  <c r="CU21" i="1"/>
  <c r="CP21" i="1"/>
  <c r="CK21" i="1"/>
  <c r="CF21" i="1"/>
  <c r="CA21" i="1"/>
  <c r="BV21" i="1"/>
  <c r="BQ21" i="1"/>
  <c r="BL21" i="1"/>
  <c r="BG21" i="1"/>
  <c r="BB21" i="1"/>
  <c r="AW21" i="1"/>
  <c r="AR21" i="1"/>
  <c r="AM21" i="1"/>
  <c r="AH21" i="1"/>
  <c r="AC21" i="1"/>
  <c r="X21" i="1"/>
  <c r="S21" i="1"/>
  <c r="EI20" i="1"/>
  <c r="ED20" i="1"/>
  <c r="DY20" i="1"/>
  <c r="DT20" i="1"/>
  <c r="DO20" i="1"/>
  <c r="DJ20" i="1"/>
  <c r="DE20" i="1"/>
  <c r="CZ20" i="1"/>
  <c r="CU20" i="1"/>
  <c r="CP20" i="1"/>
  <c r="CK20" i="1"/>
  <c r="CF20" i="1"/>
  <c r="CA20" i="1"/>
  <c r="BV20" i="1"/>
  <c r="BQ20" i="1"/>
  <c r="BL20" i="1"/>
  <c r="BG20" i="1"/>
  <c r="BB20" i="1"/>
  <c r="AW20" i="1"/>
  <c r="AR20" i="1"/>
  <c r="AM20" i="1"/>
  <c r="AH20" i="1"/>
  <c r="AC20" i="1"/>
  <c r="X20" i="1"/>
  <c r="S20" i="1"/>
  <c r="EI19" i="1"/>
  <c r="ED19" i="1"/>
  <c r="DY19" i="1"/>
  <c r="DT19" i="1"/>
  <c r="DO19" i="1"/>
  <c r="DJ19" i="1"/>
  <c r="DE19" i="1"/>
  <c r="CZ19" i="1"/>
  <c r="CU19" i="1"/>
  <c r="CP19" i="1"/>
  <c r="CK19" i="1"/>
  <c r="CF19" i="1"/>
  <c r="CA19" i="1"/>
  <c r="BV19" i="1"/>
  <c r="BQ19" i="1"/>
  <c r="BL19" i="1"/>
  <c r="BG19" i="1"/>
  <c r="BB19" i="1"/>
  <c r="AW19" i="1"/>
  <c r="AR19" i="1"/>
  <c r="AM19" i="1"/>
  <c r="AH19" i="1"/>
  <c r="AC19" i="1"/>
  <c r="X19" i="1"/>
  <c r="S19" i="1"/>
  <c r="EI18" i="1"/>
  <c r="ED18" i="1"/>
  <c r="DY18" i="1"/>
  <c r="DT18" i="1"/>
  <c r="DO18" i="1"/>
  <c r="DJ18" i="1"/>
  <c r="DE18" i="1"/>
  <c r="CZ18" i="1"/>
  <c r="CU18" i="1"/>
  <c r="CP18" i="1"/>
  <c r="CK18" i="1"/>
  <c r="CF18" i="1"/>
  <c r="CA18" i="1"/>
  <c r="BV18" i="1"/>
  <c r="BQ18" i="1"/>
  <c r="BL18" i="1"/>
  <c r="BG18" i="1"/>
  <c r="BB18" i="1"/>
  <c r="AW18" i="1"/>
  <c r="AR18" i="1"/>
  <c r="AM18" i="1"/>
  <c r="AH18" i="1"/>
  <c r="AC18" i="1"/>
  <c r="X18" i="1"/>
  <c r="S18" i="1"/>
  <c r="EI17" i="1"/>
  <c r="ED17" i="1"/>
  <c r="DY17" i="1"/>
  <c r="DT17" i="1"/>
  <c r="DO17" i="1"/>
  <c r="DJ17" i="1"/>
  <c r="DE17" i="1"/>
  <c r="CZ17" i="1"/>
  <c r="CU17" i="1"/>
  <c r="CP17" i="1"/>
  <c r="CK17" i="1"/>
  <c r="CF17" i="1"/>
  <c r="CA17" i="1"/>
  <c r="BV17" i="1"/>
  <c r="BQ17" i="1"/>
  <c r="BL17" i="1"/>
  <c r="BG17" i="1"/>
  <c r="BB17" i="1"/>
  <c r="AW17" i="1"/>
  <c r="AR17" i="1"/>
  <c r="AM17" i="1"/>
  <c r="AH17" i="1"/>
  <c r="AC17" i="1"/>
  <c r="X17" i="1"/>
  <c r="S17" i="1"/>
  <c r="EI16" i="1"/>
  <c r="ED16" i="1"/>
  <c r="DY16" i="1"/>
  <c r="DT16" i="1"/>
  <c r="DO16" i="1"/>
  <c r="DJ16" i="1"/>
  <c r="DE16" i="1"/>
  <c r="CZ16" i="1"/>
  <c r="CU16" i="1"/>
  <c r="CP16" i="1"/>
  <c r="CK16" i="1"/>
  <c r="CF16" i="1"/>
  <c r="CA16" i="1"/>
  <c r="BV16" i="1"/>
  <c r="BQ16" i="1"/>
  <c r="BL16" i="1"/>
  <c r="BG16" i="1"/>
  <c r="BB16" i="1"/>
  <c r="AW16" i="1"/>
  <c r="AR16" i="1"/>
  <c r="AM16" i="1"/>
  <c r="AH16" i="1"/>
  <c r="AC16" i="1"/>
  <c r="X16" i="1"/>
  <c r="S16" i="1"/>
  <c r="EI15" i="1"/>
  <c r="ED15" i="1"/>
  <c r="DY15" i="1"/>
  <c r="DT15" i="1"/>
  <c r="DO15" i="1"/>
  <c r="DJ15" i="1"/>
  <c r="DE15" i="1"/>
  <c r="CZ15" i="1"/>
  <c r="CU15" i="1"/>
  <c r="CP15" i="1"/>
  <c r="CK15" i="1"/>
  <c r="CF15" i="1"/>
  <c r="CA15" i="1"/>
  <c r="BV15" i="1"/>
  <c r="BQ15" i="1"/>
  <c r="BL15" i="1"/>
  <c r="BG15" i="1"/>
  <c r="BB15" i="1"/>
  <c r="AW15" i="1"/>
  <c r="AR15" i="1"/>
  <c r="AM15" i="1"/>
  <c r="AH15" i="1"/>
  <c r="AC15" i="1"/>
  <c r="X15" i="1"/>
  <c r="S15" i="1"/>
  <c r="EI14" i="1"/>
  <c r="ED14" i="1"/>
  <c r="DY14" i="1"/>
  <c r="DT14" i="1"/>
  <c r="DO14" i="1"/>
  <c r="DJ14" i="1"/>
  <c r="DE14" i="1"/>
  <c r="CZ14" i="1"/>
  <c r="CU14" i="1"/>
  <c r="CP14" i="1"/>
  <c r="CK14" i="1"/>
  <c r="CF14" i="1"/>
  <c r="CA14" i="1"/>
  <c r="BV14" i="1"/>
  <c r="BQ14" i="1"/>
  <c r="BL14" i="1"/>
  <c r="BG14" i="1"/>
  <c r="BB14" i="1"/>
  <c r="AW14" i="1"/>
  <c r="AR14" i="1"/>
  <c r="AM14" i="1"/>
  <c r="AH14" i="1"/>
  <c r="AC14" i="1"/>
  <c r="X14" i="1"/>
  <c r="S14" i="1"/>
  <c r="EI13" i="1"/>
  <c r="ED13" i="1"/>
  <c r="DY13" i="1"/>
  <c r="DT13" i="1"/>
  <c r="DO13" i="1"/>
  <c r="DJ13" i="1"/>
  <c r="DE13" i="1"/>
  <c r="CZ13" i="1"/>
  <c r="CU13" i="1"/>
  <c r="CP13" i="1"/>
  <c r="CK13" i="1"/>
  <c r="CF13" i="1"/>
  <c r="CA13" i="1"/>
  <c r="BV13" i="1"/>
  <c r="BQ13" i="1"/>
  <c r="BL13" i="1"/>
  <c r="BG13" i="1"/>
  <c r="BB13" i="1"/>
  <c r="AW13" i="1"/>
  <c r="AR13" i="1"/>
  <c r="AM13" i="1"/>
  <c r="AH13" i="1"/>
  <c r="AC13" i="1"/>
  <c r="X13" i="1"/>
  <c r="S13" i="1"/>
  <c r="EI12" i="1"/>
  <c r="ED12" i="1"/>
  <c r="DY12" i="1"/>
  <c r="DT12" i="1"/>
  <c r="DO12" i="1"/>
  <c r="DJ12" i="1"/>
  <c r="DE12" i="1"/>
  <c r="CZ12" i="1"/>
  <c r="CU12" i="1"/>
  <c r="CP12" i="1"/>
  <c r="CK12" i="1"/>
  <c r="CF12" i="1"/>
  <c r="CA12" i="1"/>
  <c r="BV12" i="1"/>
  <c r="BQ12" i="1"/>
  <c r="BL12" i="1"/>
  <c r="BG12" i="1"/>
  <c r="BB12" i="1"/>
  <c r="AW12" i="1"/>
  <c r="AR12" i="1"/>
  <c r="AM12" i="1"/>
  <c r="AH12" i="1"/>
  <c r="AC12" i="1"/>
  <c r="X12" i="1"/>
  <c r="S12" i="1"/>
  <c r="EI11" i="1"/>
  <c r="ED11" i="1"/>
  <c r="DY11" i="1"/>
  <c r="DT11" i="1"/>
  <c r="DO11" i="1"/>
  <c r="DJ11" i="1"/>
  <c r="DE11" i="1"/>
  <c r="CZ11" i="1"/>
  <c r="CU11" i="1"/>
  <c r="CP11" i="1"/>
  <c r="CK11" i="1"/>
  <c r="CF11" i="1"/>
  <c r="CA11" i="1"/>
  <c r="BV11" i="1"/>
  <c r="BQ11" i="1"/>
  <c r="BL11" i="1"/>
  <c r="BG11" i="1"/>
  <c r="BB11" i="1"/>
  <c r="AW11" i="1"/>
  <c r="AR11" i="1"/>
  <c r="AM11" i="1"/>
  <c r="AH11" i="1"/>
  <c r="AC11" i="1"/>
  <c r="X11" i="1"/>
  <c r="S11" i="1"/>
  <c r="EI10" i="1"/>
  <c r="ED10" i="1"/>
  <c r="DY10" i="1"/>
  <c r="DT10" i="1"/>
  <c r="DO10" i="1"/>
  <c r="DJ10" i="1"/>
  <c r="DE10" i="1"/>
  <c r="CZ10" i="1"/>
  <c r="CU10" i="1"/>
  <c r="CP10" i="1"/>
  <c r="CK10" i="1"/>
  <c r="CF10" i="1"/>
  <c r="CA10" i="1"/>
  <c r="BV10" i="1"/>
  <c r="BQ10" i="1"/>
  <c r="BL10" i="1"/>
  <c r="BG10" i="1"/>
  <c r="BB10" i="1"/>
  <c r="AW10" i="1"/>
  <c r="AR10" i="1"/>
  <c r="AM10" i="1"/>
  <c r="AH10" i="1"/>
  <c r="AC10" i="1"/>
  <c r="X10" i="1"/>
  <c r="S10" i="1"/>
  <c r="EI9" i="1"/>
  <c r="ED9" i="1"/>
  <c r="DY9" i="1"/>
  <c r="DT9" i="1"/>
  <c r="DO9" i="1"/>
  <c r="DJ9" i="1"/>
  <c r="DE9" i="1"/>
  <c r="CZ9" i="1"/>
  <c r="CU9" i="1"/>
  <c r="CP9" i="1"/>
  <c r="CK9" i="1"/>
  <c r="CF9" i="1"/>
  <c r="CA9" i="1"/>
  <c r="BV9" i="1"/>
  <c r="BQ9" i="1"/>
  <c r="BL9" i="1"/>
  <c r="BG9" i="1"/>
  <c r="BB9" i="1"/>
  <c r="AW9" i="1"/>
  <c r="AR9" i="1"/>
  <c r="AM9" i="1"/>
  <c r="AH9" i="1"/>
  <c r="AC9" i="1"/>
  <c r="X9" i="1"/>
  <c r="S9" i="1"/>
  <c r="EI8" i="1"/>
  <c r="ED8" i="1"/>
  <c r="DY8" i="1"/>
  <c r="DT8" i="1"/>
  <c r="DO8" i="1"/>
  <c r="DJ8" i="1"/>
  <c r="DE8" i="1"/>
  <c r="CZ8" i="1"/>
  <c r="CU8" i="1"/>
  <c r="CP8" i="1"/>
  <c r="CK8" i="1"/>
  <c r="CF8" i="1"/>
  <c r="CA8" i="1"/>
  <c r="BV8" i="1"/>
  <c r="BQ8" i="1"/>
  <c r="BL8" i="1"/>
  <c r="BG8" i="1"/>
  <c r="BB8" i="1"/>
  <c r="AW8" i="1"/>
  <c r="AR8" i="1"/>
  <c r="AM8" i="1"/>
  <c r="AH8" i="1"/>
  <c r="AC8" i="1"/>
  <c r="X8" i="1"/>
  <c r="S8" i="1"/>
  <c r="EI7" i="1"/>
  <c r="ED7" i="1"/>
  <c r="DY7" i="1"/>
  <c r="DT7" i="1"/>
  <c r="DO7" i="1"/>
  <c r="DJ7" i="1"/>
  <c r="DE7" i="1"/>
  <c r="CZ7" i="1"/>
  <c r="CU7" i="1"/>
  <c r="CP7" i="1"/>
  <c r="CK7" i="1"/>
  <c r="CF7" i="1"/>
  <c r="CA7" i="1"/>
  <c r="BV7" i="1"/>
  <c r="BQ7" i="1"/>
  <c r="BL7" i="1"/>
  <c r="BG7" i="1"/>
  <c r="BB7" i="1"/>
  <c r="AW7" i="1"/>
  <c r="AR7" i="1"/>
  <c r="AM7" i="1"/>
  <c r="AH7" i="1"/>
  <c r="AC7" i="1"/>
  <c r="X7" i="1"/>
  <c r="S7" i="1"/>
  <c r="EI6" i="1"/>
  <c r="EK9" i="1" s="1"/>
  <c r="EL9" i="1" s="1"/>
  <c r="ED6" i="1"/>
  <c r="EF9" i="1" s="1"/>
  <c r="EG9" i="1" s="1"/>
  <c r="DY6" i="1"/>
  <c r="EA9" i="1" s="1"/>
  <c r="EB9" i="1" s="1"/>
  <c r="DT6" i="1"/>
  <c r="DV9" i="1" s="1"/>
  <c r="DW9" i="1" s="1"/>
  <c r="DO6" i="1"/>
  <c r="DQ9" i="1" s="1"/>
  <c r="DR9" i="1" s="1"/>
  <c r="DJ6" i="1"/>
  <c r="DL9" i="1" s="1"/>
  <c r="DM9" i="1" s="1"/>
  <c r="DE6" i="1"/>
  <c r="DG9" i="1" s="1"/>
  <c r="DH9" i="1" s="1"/>
  <c r="CZ6" i="1"/>
  <c r="DB9" i="1" s="1"/>
  <c r="DC9" i="1" s="1"/>
  <c r="CU6" i="1"/>
  <c r="CW9" i="1" s="1"/>
  <c r="CX9" i="1" s="1"/>
  <c r="CP6" i="1"/>
  <c r="CR9" i="1" s="1"/>
  <c r="CS9" i="1" s="1"/>
  <c r="CK6" i="1"/>
  <c r="CM9" i="1" s="1"/>
  <c r="CN9" i="1" s="1"/>
  <c r="CF6" i="1"/>
  <c r="CH9" i="1" s="1"/>
  <c r="CI9" i="1" s="1"/>
  <c r="CA6" i="1"/>
  <c r="CC11" i="1" s="1"/>
  <c r="CD11" i="1" s="1"/>
  <c r="BV6" i="1"/>
  <c r="BX9" i="1" s="1"/>
  <c r="BY9" i="1" s="1"/>
  <c r="BQ6" i="1"/>
  <c r="BS11" i="1" s="1"/>
  <c r="BT11" i="1" s="1"/>
  <c r="BL6" i="1"/>
  <c r="BN9" i="1" s="1"/>
  <c r="BO9" i="1" s="1"/>
  <c r="BG6" i="1"/>
  <c r="BI11" i="1" s="1"/>
  <c r="BJ11" i="1" s="1"/>
  <c r="BB6" i="1"/>
  <c r="BD9" i="1" s="1"/>
  <c r="BE9" i="1" s="1"/>
  <c r="AW6" i="1"/>
  <c r="AY11" i="1" s="1"/>
  <c r="AZ11" i="1" s="1"/>
  <c r="AR6" i="1"/>
  <c r="AT9" i="1" s="1"/>
  <c r="AU9" i="1" s="1"/>
  <c r="AM6" i="1"/>
  <c r="AO11" i="1" s="1"/>
  <c r="AP11" i="1" s="1"/>
  <c r="AH6" i="1"/>
  <c r="AJ9" i="1" s="1"/>
  <c r="AK9" i="1" s="1"/>
  <c r="AC6" i="1"/>
  <c r="AE11" i="1" s="1"/>
  <c r="AF11" i="1" s="1"/>
  <c r="X6" i="1"/>
  <c r="Z9" i="1" s="1"/>
  <c r="AA9" i="1" s="1"/>
  <c r="S6" i="1"/>
  <c r="U11" i="1" s="1"/>
  <c r="V11" i="1" s="1"/>
  <c r="AD7" i="1" l="1"/>
  <c r="AX7" i="1"/>
  <c r="BR7" i="1"/>
  <c r="CL7" i="1"/>
  <c r="DF7" i="1"/>
  <c r="DZ7" i="1"/>
  <c r="AI7" i="1"/>
  <c r="BC7" i="1"/>
  <c r="BW7" i="1"/>
  <c r="CQ7" i="1"/>
  <c r="DK7" i="1"/>
  <c r="EE7" i="1"/>
  <c r="CL10" i="1"/>
  <c r="DF10" i="1"/>
  <c r="DZ10" i="1"/>
  <c r="EE28" i="1"/>
  <c r="DK28" i="1"/>
  <c r="CQ28" i="1"/>
  <c r="BW28" i="1"/>
  <c r="BC28" i="1"/>
  <c r="AI28" i="1"/>
  <c r="DA27" i="1"/>
  <c r="CV27" i="1"/>
  <c r="CQ27" i="1"/>
  <c r="CL27" i="1"/>
  <c r="CG27" i="1"/>
  <c r="CB27" i="1"/>
  <c r="BW27" i="1"/>
  <c r="BR27" i="1"/>
  <c r="BM27" i="1"/>
  <c r="BH27" i="1"/>
  <c r="BC27" i="1"/>
  <c r="AX27" i="1"/>
  <c r="AS27" i="1"/>
  <c r="AN27" i="1"/>
  <c r="AI27" i="1"/>
  <c r="AD27" i="1"/>
  <c r="Y27" i="1"/>
  <c r="T27" i="1"/>
  <c r="DU28" i="1"/>
  <c r="DA28" i="1"/>
  <c r="CG28" i="1"/>
  <c r="BM28" i="1"/>
  <c r="AS28" i="1"/>
  <c r="Y28" i="1"/>
  <c r="EJ25" i="1"/>
  <c r="DP25" i="1"/>
  <c r="CV25" i="1"/>
  <c r="CB25" i="1"/>
  <c r="BH25" i="1"/>
  <c r="BC25" i="1"/>
  <c r="AX25" i="1"/>
  <c r="AS25" i="1"/>
  <c r="AN25" i="1"/>
  <c r="AI25" i="1"/>
  <c r="AD25" i="1"/>
  <c r="Y25" i="1"/>
  <c r="T25" i="1"/>
  <c r="EJ23" i="1"/>
  <c r="EE23" i="1"/>
  <c r="DZ23" i="1"/>
  <c r="DU25" i="1"/>
  <c r="DA25" i="1"/>
  <c r="CG25" i="1"/>
  <c r="BM25" i="1"/>
  <c r="EJ24" i="1"/>
  <c r="EE24" i="1"/>
  <c r="DZ24" i="1"/>
  <c r="DU24" i="1"/>
  <c r="DP24" i="1"/>
  <c r="DK24" i="1"/>
  <c r="DF24" i="1"/>
  <c r="DA24" i="1"/>
  <c r="CV24" i="1"/>
  <c r="CQ24" i="1"/>
  <c r="CL24" i="1"/>
  <c r="CG24" i="1"/>
  <c r="CB24" i="1"/>
  <c r="BW24" i="1"/>
  <c r="BR24" i="1"/>
  <c r="BM24" i="1"/>
  <c r="BH24" i="1"/>
  <c r="BC24" i="1"/>
  <c r="AX24" i="1"/>
  <c r="AS24" i="1"/>
  <c r="AN24" i="1"/>
  <c r="AI24" i="1"/>
  <c r="AD24" i="1"/>
  <c r="Y24" i="1"/>
  <c r="T24" i="1"/>
  <c r="DZ25" i="1"/>
  <c r="DF25" i="1"/>
  <c r="CL25" i="1"/>
  <c r="BR25" i="1"/>
  <c r="EE25" i="1"/>
  <c r="DK25" i="1"/>
  <c r="CQ25" i="1"/>
  <c r="BW25" i="1"/>
  <c r="DU23" i="1"/>
  <c r="DK23" i="1"/>
  <c r="DA23" i="1"/>
  <c r="CQ23" i="1"/>
  <c r="CG23" i="1"/>
  <c r="BW23" i="1"/>
  <c r="BM23" i="1"/>
  <c r="AS23" i="1"/>
  <c r="Y23" i="1"/>
  <c r="EJ21" i="1"/>
  <c r="DP21" i="1"/>
  <c r="CV21" i="1"/>
  <c r="EJ19" i="1"/>
  <c r="EE19" i="1"/>
  <c r="DZ19" i="1"/>
  <c r="AX23" i="1"/>
  <c r="AD23" i="1"/>
  <c r="EJ20" i="1"/>
  <c r="EE20" i="1"/>
  <c r="DZ20" i="1"/>
  <c r="DU20" i="1"/>
  <c r="DP20" i="1"/>
  <c r="DK20" i="1"/>
  <c r="DF20" i="1"/>
  <c r="DA20" i="1"/>
  <c r="CV20" i="1"/>
  <c r="CQ20" i="1"/>
  <c r="CL20" i="1"/>
  <c r="CG20" i="1"/>
  <c r="CB20" i="1"/>
  <c r="BW20" i="1"/>
  <c r="BR20" i="1"/>
  <c r="BM20" i="1"/>
  <c r="BH20" i="1"/>
  <c r="BC20" i="1"/>
  <c r="AX20" i="1"/>
  <c r="AS20" i="1"/>
  <c r="AN20" i="1"/>
  <c r="AI20" i="1"/>
  <c r="AD20" i="1"/>
  <c r="Y20" i="1"/>
  <c r="T20" i="1"/>
  <c r="DP23" i="1"/>
  <c r="DF23" i="1"/>
  <c r="CV23" i="1"/>
  <c r="CL23" i="1"/>
  <c r="CB23" i="1"/>
  <c r="BR23" i="1"/>
  <c r="BC23" i="1"/>
  <c r="AI23" i="1"/>
  <c r="DZ21" i="1"/>
  <c r="DF21" i="1"/>
  <c r="CL21" i="1"/>
  <c r="CG21" i="1"/>
  <c r="CB21" i="1"/>
  <c r="BW21" i="1"/>
  <c r="BR21" i="1"/>
  <c r="BM21" i="1"/>
  <c r="BH21" i="1"/>
  <c r="BC21" i="1"/>
  <c r="AX21" i="1"/>
  <c r="AS21" i="1"/>
  <c r="AN21" i="1"/>
  <c r="AI21" i="1"/>
  <c r="AD21" i="1"/>
  <c r="Y21" i="1"/>
  <c r="T21" i="1"/>
  <c r="BH23" i="1"/>
  <c r="AN23" i="1"/>
  <c r="T23" i="1"/>
  <c r="DU19" i="1"/>
  <c r="DK19" i="1"/>
  <c r="DA19" i="1"/>
  <c r="CQ19" i="1"/>
  <c r="CG19" i="1"/>
  <c r="BW19" i="1"/>
  <c r="BM19" i="1"/>
  <c r="BC19" i="1"/>
  <c r="AS19" i="1"/>
  <c r="AI19" i="1"/>
  <c r="Y19" i="1"/>
  <c r="CV18" i="1"/>
  <c r="CL18" i="1"/>
  <c r="CB18" i="1"/>
  <c r="BM18" i="1"/>
  <c r="AS18" i="1"/>
  <c r="Y18" i="1"/>
  <c r="EJ16" i="1"/>
  <c r="EE16" i="1"/>
  <c r="DZ16" i="1"/>
  <c r="DU16" i="1"/>
  <c r="DP16" i="1"/>
  <c r="DK16" i="1"/>
  <c r="DF16" i="1"/>
  <c r="DA16" i="1"/>
  <c r="CV16" i="1"/>
  <c r="CQ16" i="1"/>
  <c r="CL16" i="1"/>
  <c r="CG16" i="1"/>
  <c r="CB16" i="1"/>
  <c r="BW16" i="1"/>
  <c r="BR16" i="1"/>
  <c r="BM16" i="1"/>
  <c r="BH16" i="1"/>
  <c r="BC16" i="1"/>
  <c r="AX16" i="1"/>
  <c r="AS16" i="1"/>
  <c r="AN16" i="1"/>
  <c r="AI16" i="1"/>
  <c r="AD16" i="1"/>
  <c r="Y16" i="1"/>
  <c r="T16" i="1"/>
  <c r="EJ12" i="1"/>
  <c r="EE12" i="1"/>
  <c r="DZ12" i="1"/>
  <c r="DU12" i="1"/>
  <c r="DP12" i="1"/>
  <c r="DK12" i="1"/>
  <c r="DP19" i="1"/>
  <c r="DF19" i="1"/>
  <c r="CV19" i="1"/>
  <c r="CL19" i="1"/>
  <c r="CB19" i="1"/>
  <c r="BR19" i="1"/>
  <c r="BH19" i="1"/>
  <c r="AX19" i="1"/>
  <c r="AN19" i="1"/>
  <c r="AD19" i="1"/>
  <c r="T19" i="1"/>
  <c r="DA18" i="1"/>
  <c r="CQ18" i="1"/>
  <c r="CG18" i="1"/>
  <c r="BW18" i="1"/>
  <c r="BC18" i="1"/>
  <c r="AI18" i="1"/>
  <c r="EE17" i="1"/>
  <c r="EJ14" i="1"/>
  <c r="EE14" i="1"/>
  <c r="DZ14" i="1"/>
  <c r="DU14" i="1"/>
  <c r="DP14" i="1"/>
  <c r="DK14" i="1"/>
  <c r="DF14" i="1"/>
  <c r="DA14" i="1"/>
  <c r="CV14" i="1"/>
  <c r="CQ14" i="1"/>
  <c r="CL14" i="1"/>
  <c r="CG14" i="1"/>
  <c r="CB14" i="1"/>
  <c r="BW14" i="1"/>
  <c r="BR14" i="1"/>
  <c r="BM14" i="1"/>
  <c r="BH14" i="1"/>
  <c r="BC14" i="1"/>
  <c r="AX14" i="1"/>
  <c r="AS14" i="1"/>
  <c r="AN14" i="1"/>
  <c r="AI14" i="1"/>
  <c r="AD14" i="1"/>
  <c r="Y14" i="1"/>
  <c r="T14" i="1"/>
  <c r="DF12" i="1"/>
  <c r="CV12" i="1"/>
  <c r="CL12" i="1"/>
  <c r="CB12" i="1"/>
  <c r="BR12" i="1"/>
  <c r="BH12" i="1"/>
  <c r="AX12" i="1"/>
  <c r="AN12" i="1"/>
  <c r="AD12" i="1"/>
  <c r="T12" i="1"/>
  <c r="DU10" i="1"/>
  <c r="DA10" i="1"/>
  <c r="CG10" i="1"/>
  <c r="CB10" i="1"/>
  <c r="BW10" i="1"/>
  <c r="BR10" i="1"/>
  <c r="BM10" i="1"/>
  <c r="BH10" i="1"/>
  <c r="BC10" i="1"/>
  <c r="AX10" i="1"/>
  <c r="AS10" i="1"/>
  <c r="AN10" i="1"/>
  <c r="AI10" i="1"/>
  <c r="AD10" i="1"/>
  <c r="Y10" i="1"/>
  <c r="T10" i="1"/>
  <c r="EJ6" i="1"/>
  <c r="EE6" i="1"/>
  <c r="DZ6" i="1"/>
  <c r="DU6" i="1"/>
  <c r="DP6" i="1"/>
  <c r="DK6" i="1"/>
  <c r="DF6" i="1"/>
  <c r="DA6" i="1"/>
  <c r="CV6" i="1"/>
  <c r="CQ6" i="1"/>
  <c r="CL6" i="1"/>
  <c r="CG6" i="1"/>
  <c r="CB6" i="1"/>
  <c r="BW6" i="1"/>
  <c r="BR6" i="1"/>
  <c r="BM6" i="1"/>
  <c r="BH6" i="1"/>
  <c r="BC6" i="1"/>
  <c r="AX6" i="1"/>
  <c r="AS6" i="1"/>
  <c r="AN6" i="1"/>
  <c r="AI6" i="1"/>
  <c r="DA12" i="1"/>
  <c r="CQ12" i="1"/>
  <c r="CG12" i="1"/>
  <c r="BW12" i="1"/>
  <c r="BM12" i="1"/>
  <c r="BC12" i="1"/>
  <c r="AS12" i="1"/>
  <c r="AI12" i="1"/>
  <c r="Y12" i="1"/>
  <c r="EE10" i="1"/>
  <c r="DK10" i="1"/>
  <c r="CQ10" i="1"/>
  <c r="EJ8" i="1"/>
  <c r="EE8" i="1"/>
  <c r="DZ8" i="1"/>
  <c r="DU8" i="1"/>
  <c r="DP8" i="1"/>
  <c r="DK8" i="1"/>
  <c r="DF8" i="1"/>
  <c r="DA8" i="1"/>
  <c r="CV8" i="1"/>
  <c r="CQ8" i="1"/>
  <c r="CL8" i="1"/>
  <c r="CG8" i="1"/>
  <c r="CB8" i="1"/>
  <c r="BW8" i="1"/>
  <c r="BR8" i="1"/>
  <c r="BM8" i="1"/>
  <c r="BH8" i="1"/>
  <c r="BC8" i="1"/>
  <c r="AX8" i="1"/>
  <c r="AS8" i="1"/>
  <c r="AN8" i="1"/>
  <c r="AI8" i="1"/>
  <c r="AD8" i="1"/>
  <c r="Y8" i="1"/>
  <c r="T8" i="1"/>
  <c r="EJ9" i="1"/>
  <c r="EE9" i="1"/>
  <c r="DZ9" i="1"/>
  <c r="DU9" i="1"/>
  <c r="DP9" i="1"/>
  <c r="DK9" i="1"/>
  <c r="DF9" i="1"/>
  <c r="DA9" i="1"/>
  <c r="CV9" i="1"/>
  <c r="CQ9" i="1"/>
  <c r="CL9" i="1"/>
  <c r="CG9" i="1"/>
  <c r="CB9" i="1"/>
  <c r="BW9" i="1"/>
  <c r="BR9" i="1"/>
  <c r="BM9" i="1"/>
  <c r="BH9" i="1"/>
  <c r="BC9" i="1"/>
  <c r="AX9" i="1"/>
  <c r="AS9" i="1"/>
  <c r="AN9" i="1"/>
  <c r="AI9" i="1"/>
  <c r="AD9" i="1"/>
  <c r="Y9" i="1"/>
  <c r="T9" i="1"/>
  <c r="T7" i="1"/>
  <c r="AN7" i="1"/>
  <c r="BH7" i="1"/>
  <c r="CB7" i="1"/>
  <c r="CV7" i="1"/>
  <c r="DP7" i="1"/>
  <c r="EJ7" i="1"/>
  <c r="T11" i="1"/>
  <c r="Y7" i="1"/>
  <c r="AS7" i="1"/>
  <c r="BM7" i="1"/>
  <c r="CG7" i="1"/>
  <c r="DA7" i="1"/>
  <c r="DU7" i="1"/>
  <c r="CV10" i="1"/>
  <c r="DP10" i="1"/>
  <c r="EJ10" i="1"/>
  <c r="U6" i="1"/>
  <c r="Z6" i="1"/>
  <c r="AA6" i="1" s="1"/>
  <c r="AE6" i="1"/>
  <c r="AF6" i="1" s="1"/>
  <c r="AJ6" i="1"/>
  <c r="AK6" i="1" s="1"/>
  <c r="AO6" i="1"/>
  <c r="AP6" i="1" s="1"/>
  <c r="AT6" i="1"/>
  <c r="AU6" i="1" s="1"/>
  <c r="AY6" i="1"/>
  <c r="AZ6" i="1" s="1"/>
  <c r="BD6" i="1"/>
  <c r="BE6" i="1" s="1"/>
  <c r="BI6" i="1"/>
  <c r="BJ6" i="1" s="1"/>
  <c r="BN6" i="1"/>
  <c r="BO6" i="1" s="1"/>
  <c r="BS6" i="1"/>
  <c r="BT6" i="1" s="1"/>
  <c r="BX6" i="1"/>
  <c r="BY6" i="1" s="1"/>
  <c r="CC6" i="1"/>
  <c r="CD6" i="1" s="1"/>
  <c r="CH6" i="1"/>
  <c r="CI6" i="1" s="1"/>
  <c r="CM6" i="1"/>
  <c r="CN6" i="1" s="1"/>
  <c r="CR6" i="1"/>
  <c r="CS6" i="1" s="1"/>
  <c r="CW6" i="1"/>
  <c r="CX6" i="1" s="1"/>
  <c r="DB6" i="1"/>
  <c r="DC6" i="1" s="1"/>
  <c r="DG6" i="1"/>
  <c r="DH6" i="1" s="1"/>
  <c r="DL6" i="1"/>
  <c r="DM6" i="1" s="1"/>
  <c r="DQ6" i="1"/>
  <c r="DR6" i="1" s="1"/>
  <c r="DV6" i="1"/>
  <c r="DW6" i="1" s="1"/>
  <c r="EA6" i="1"/>
  <c r="EB6" i="1" s="1"/>
  <c r="EF6" i="1"/>
  <c r="EG6" i="1" s="1"/>
  <c r="EK6" i="1"/>
  <c r="EL6" i="1" s="1"/>
  <c r="U10" i="1"/>
  <c r="V10" i="1" s="1"/>
  <c r="Z10" i="1"/>
  <c r="AA10" i="1" s="1"/>
  <c r="AE10" i="1"/>
  <c r="AF10" i="1" s="1"/>
  <c r="AJ10" i="1"/>
  <c r="AK10" i="1" s="1"/>
  <c r="AO10" i="1"/>
  <c r="AP10" i="1" s="1"/>
  <c r="AT10" i="1"/>
  <c r="AU10" i="1" s="1"/>
  <c r="AY10" i="1"/>
  <c r="AZ10" i="1" s="1"/>
  <c r="BD10" i="1"/>
  <c r="BE10" i="1" s="1"/>
  <c r="BI10" i="1"/>
  <c r="BJ10" i="1" s="1"/>
  <c r="BN10" i="1"/>
  <c r="BO10" i="1" s="1"/>
  <c r="BS10" i="1"/>
  <c r="BT10" i="1" s="1"/>
  <c r="BX10" i="1"/>
  <c r="BY10" i="1" s="1"/>
  <c r="CC10" i="1"/>
  <c r="CD10" i="1" s="1"/>
  <c r="AD11" i="1"/>
  <c r="AN11" i="1"/>
  <c r="AX11" i="1"/>
  <c r="BH11" i="1"/>
  <c r="BR11" i="1"/>
  <c r="CB11" i="1"/>
  <c r="CL11" i="1"/>
  <c r="DF11" i="1"/>
  <c r="DZ11" i="1"/>
  <c r="T13" i="1"/>
  <c r="AN13" i="1"/>
  <c r="BH13" i="1"/>
  <c r="CB13" i="1"/>
  <c r="CV13" i="1"/>
  <c r="DP13" i="1"/>
  <c r="EJ13" i="1"/>
  <c r="AD15" i="1"/>
  <c r="AX15" i="1"/>
  <c r="BR15" i="1"/>
  <c r="CL15" i="1"/>
  <c r="DF15" i="1"/>
  <c r="DZ15" i="1"/>
  <c r="T17" i="1"/>
  <c r="AN17" i="1"/>
  <c r="BH17" i="1"/>
  <c r="CB17" i="1"/>
  <c r="CV17" i="1"/>
  <c r="DP17" i="1"/>
  <c r="EJ17" i="1"/>
  <c r="U9" i="1"/>
  <c r="V9" i="1" s="1"/>
  <c r="AE9" i="1"/>
  <c r="AF9" i="1" s="1"/>
  <c r="AO9" i="1"/>
  <c r="AP9" i="1" s="1"/>
  <c r="AY9" i="1"/>
  <c r="AZ9" i="1" s="1"/>
  <c r="BI9" i="1"/>
  <c r="BJ9" i="1" s="1"/>
  <c r="BS9" i="1"/>
  <c r="BT9" i="1" s="1"/>
  <c r="CC9" i="1"/>
  <c r="CD9" i="1" s="1"/>
  <c r="CQ11" i="1"/>
  <c r="DK11" i="1"/>
  <c r="EE11" i="1"/>
  <c r="Y13" i="1"/>
  <c r="AS13" i="1"/>
  <c r="BM13" i="1"/>
  <c r="CG13" i="1"/>
  <c r="DA13" i="1"/>
  <c r="DU13" i="1"/>
  <c r="AI15" i="1"/>
  <c r="BC15" i="1"/>
  <c r="BW15" i="1"/>
  <c r="CQ15" i="1"/>
  <c r="DK15" i="1"/>
  <c r="EE15" i="1"/>
  <c r="Y17" i="1"/>
  <c r="AS17" i="1"/>
  <c r="BM17" i="1"/>
  <c r="CG17" i="1"/>
  <c r="DA17" i="1"/>
  <c r="DU17" i="1"/>
  <c r="AD18" i="1"/>
  <c r="AX18" i="1"/>
  <c r="BR18" i="1"/>
  <c r="U30" i="1"/>
  <c r="V30" i="1" s="1"/>
  <c r="U28" i="1"/>
  <c r="V28" i="1" s="1"/>
  <c r="U27" i="1"/>
  <c r="V27" i="1" s="1"/>
  <c r="U29" i="1"/>
  <c r="V29" i="1" s="1"/>
  <c r="U24" i="1"/>
  <c r="V24" i="1" s="1"/>
  <c r="U26" i="1"/>
  <c r="V26" i="1" s="1"/>
  <c r="U22" i="1"/>
  <c r="V22" i="1" s="1"/>
  <c r="U25" i="1"/>
  <c r="V25" i="1" s="1"/>
  <c r="U20" i="1"/>
  <c r="V20" i="1" s="1"/>
  <c r="U21" i="1"/>
  <c r="V21" i="1" s="1"/>
  <c r="U23" i="1"/>
  <c r="V23" i="1" s="1"/>
  <c r="U19" i="1"/>
  <c r="V19" i="1" s="1"/>
  <c r="U17" i="1"/>
  <c r="V17" i="1" s="1"/>
  <c r="U13" i="1"/>
  <c r="V13" i="1" s="1"/>
  <c r="U14" i="1"/>
  <c r="V14" i="1" s="1"/>
  <c r="U18" i="1"/>
  <c r="V18" i="1" s="1"/>
  <c r="U15" i="1"/>
  <c r="V15" i="1" s="1"/>
  <c r="U16" i="1"/>
  <c r="V16" i="1" s="1"/>
  <c r="U12" i="1"/>
  <c r="V12" i="1" s="1"/>
  <c r="Z30" i="1"/>
  <c r="AA30" i="1" s="1"/>
  <c r="Z28" i="1"/>
  <c r="AA28" i="1" s="1"/>
  <c r="Z27" i="1"/>
  <c r="AA27" i="1" s="1"/>
  <c r="Z29" i="1"/>
  <c r="AA29" i="1" s="1"/>
  <c r="Z24" i="1"/>
  <c r="AA24" i="1" s="1"/>
  <c r="Z22" i="1"/>
  <c r="AA22" i="1" s="1"/>
  <c r="Z26" i="1"/>
  <c r="AA26" i="1" s="1"/>
  <c r="Z25" i="1"/>
  <c r="AA25" i="1" s="1"/>
  <c r="Z20" i="1"/>
  <c r="AA20" i="1" s="1"/>
  <c r="Z21" i="1"/>
  <c r="AA21" i="1" s="1"/>
  <c r="Z23" i="1"/>
  <c r="AA23" i="1" s="1"/>
  <c r="Z19" i="1"/>
  <c r="AA19" i="1" s="1"/>
  <c r="Z17" i="1"/>
  <c r="AA17" i="1" s="1"/>
  <c r="Z13" i="1"/>
  <c r="AA13" i="1" s="1"/>
  <c r="Z14" i="1"/>
  <c r="AA14" i="1" s="1"/>
  <c r="Z15" i="1"/>
  <c r="AA15" i="1" s="1"/>
  <c r="Z18" i="1"/>
  <c r="AA18" i="1" s="1"/>
  <c r="Z16" i="1"/>
  <c r="AA16" i="1" s="1"/>
  <c r="Z12" i="1"/>
  <c r="AA12" i="1" s="1"/>
  <c r="AE30" i="1"/>
  <c r="AF30" i="1" s="1"/>
  <c r="AE28" i="1"/>
  <c r="AF28" i="1" s="1"/>
  <c r="AE27" i="1"/>
  <c r="AF27" i="1" s="1"/>
  <c r="AE29" i="1"/>
  <c r="AF29" i="1" s="1"/>
  <c r="AE24" i="1"/>
  <c r="AF24" i="1" s="1"/>
  <c r="AE26" i="1"/>
  <c r="AF26" i="1" s="1"/>
  <c r="AE22" i="1"/>
  <c r="AF22" i="1" s="1"/>
  <c r="AE25" i="1"/>
  <c r="AF25" i="1" s="1"/>
  <c r="AE23" i="1"/>
  <c r="AF23" i="1" s="1"/>
  <c r="AE20" i="1"/>
  <c r="AF20" i="1" s="1"/>
  <c r="AE21" i="1"/>
  <c r="AF21" i="1" s="1"/>
  <c r="AE19" i="1"/>
  <c r="AF19" i="1" s="1"/>
  <c r="AE18" i="1"/>
  <c r="AF18" i="1" s="1"/>
  <c r="AE17" i="1"/>
  <c r="AF17" i="1" s="1"/>
  <c r="AE13" i="1"/>
  <c r="AF13" i="1" s="1"/>
  <c r="AE14" i="1"/>
  <c r="AF14" i="1" s="1"/>
  <c r="AE15" i="1"/>
  <c r="AF15" i="1" s="1"/>
  <c r="AE16" i="1"/>
  <c r="AF16" i="1" s="1"/>
  <c r="AE12" i="1"/>
  <c r="AF12" i="1" s="1"/>
  <c r="AJ30" i="1"/>
  <c r="AK30" i="1" s="1"/>
  <c r="AJ28" i="1"/>
  <c r="AK28" i="1" s="1"/>
  <c r="AJ27" i="1"/>
  <c r="AK27" i="1" s="1"/>
  <c r="AJ29" i="1"/>
  <c r="AK29" i="1" s="1"/>
  <c r="AJ24" i="1"/>
  <c r="AK24" i="1" s="1"/>
  <c r="AJ22" i="1"/>
  <c r="AK22" i="1" s="1"/>
  <c r="AJ26" i="1"/>
  <c r="AK26" i="1" s="1"/>
  <c r="AJ25" i="1"/>
  <c r="AK25" i="1" s="1"/>
  <c r="AJ20" i="1"/>
  <c r="AK20" i="1" s="1"/>
  <c r="AJ23" i="1"/>
  <c r="AK23" i="1" s="1"/>
  <c r="AJ21" i="1"/>
  <c r="AK21" i="1" s="1"/>
  <c r="AJ19" i="1"/>
  <c r="AK19" i="1" s="1"/>
  <c r="AJ17" i="1"/>
  <c r="AK17" i="1" s="1"/>
  <c r="AJ13" i="1"/>
  <c r="AK13" i="1" s="1"/>
  <c r="AJ18" i="1"/>
  <c r="AK18" i="1" s="1"/>
  <c r="AJ14" i="1"/>
  <c r="AK14" i="1" s="1"/>
  <c r="AJ15" i="1"/>
  <c r="AK15" i="1" s="1"/>
  <c r="AJ16" i="1"/>
  <c r="AK16" i="1" s="1"/>
  <c r="AJ12" i="1"/>
  <c r="AK12" i="1" s="1"/>
  <c r="AO30" i="1"/>
  <c r="AP30" i="1" s="1"/>
  <c r="AO28" i="1"/>
  <c r="AP28" i="1" s="1"/>
  <c r="AO27" i="1"/>
  <c r="AP27" i="1" s="1"/>
  <c r="AO29" i="1"/>
  <c r="AP29" i="1" s="1"/>
  <c r="AO24" i="1"/>
  <c r="AP24" i="1" s="1"/>
  <c r="AO26" i="1"/>
  <c r="AP26" i="1" s="1"/>
  <c r="AO22" i="1"/>
  <c r="AP22" i="1" s="1"/>
  <c r="AO25" i="1"/>
  <c r="AP25" i="1" s="1"/>
  <c r="AO20" i="1"/>
  <c r="AP20" i="1" s="1"/>
  <c r="AO21" i="1"/>
  <c r="AP21" i="1" s="1"/>
  <c r="AO23" i="1"/>
  <c r="AP23" i="1" s="1"/>
  <c r="AO19" i="1"/>
  <c r="AP19" i="1" s="1"/>
  <c r="AO17" i="1"/>
  <c r="AP17" i="1" s="1"/>
  <c r="AO13" i="1"/>
  <c r="AP13" i="1" s="1"/>
  <c r="AO14" i="1"/>
  <c r="AP14" i="1" s="1"/>
  <c r="AO18" i="1"/>
  <c r="AP18" i="1" s="1"/>
  <c r="AO15" i="1"/>
  <c r="AP15" i="1" s="1"/>
  <c r="AO16" i="1"/>
  <c r="AP16" i="1" s="1"/>
  <c r="AO12" i="1"/>
  <c r="AP12" i="1" s="1"/>
  <c r="AT30" i="1"/>
  <c r="AU30" i="1" s="1"/>
  <c r="AT28" i="1"/>
  <c r="AU28" i="1" s="1"/>
  <c r="AT27" i="1"/>
  <c r="AU27" i="1" s="1"/>
  <c r="AT29" i="1"/>
  <c r="AU29" i="1" s="1"/>
  <c r="AT24" i="1"/>
  <c r="AU24" i="1" s="1"/>
  <c r="AT22" i="1"/>
  <c r="AU22" i="1" s="1"/>
  <c r="AT26" i="1"/>
  <c r="AU26" i="1" s="1"/>
  <c r="AT25" i="1"/>
  <c r="AU25" i="1" s="1"/>
  <c r="AT20" i="1"/>
  <c r="AU20" i="1" s="1"/>
  <c r="AT21" i="1"/>
  <c r="AU21" i="1" s="1"/>
  <c r="AT23" i="1"/>
  <c r="AU23" i="1" s="1"/>
  <c r="AT19" i="1"/>
  <c r="AU19" i="1" s="1"/>
  <c r="AT17" i="1"/>
  <c r="AU17" i="1" s="1"/>
  <c r="AT13" i="1"/>
  <c r="AU13" i="1" s="1"/>
  <c r="AT14" i="1"/>
  <c r="AU14" i="1" s="1"/>
  <c r="AT15" i="1"/>
  <c r="AU15" i="1" s="1"/>
  <c r="AT18" i="1"/>
  <c r="AU18" i="1" s="1"/>
  <c r="AT16" i="1"/>
  <c r="AU16" i="1" s="1"/>
  <c r="AT12" i="1"/>
  <c r="AU12" i="1" s="1"/>
  <c r="AY30" i="1"/>
  <c r="AZ30" i="1" s="1"/>
  <c r="AY28" i="1"/>
  <c r="AZ28" i="1" s="1"/>
  <c r="AY27" i="1"/>
  <c r="AZ27" i="1" s="1"/>
  <c r="AY29" i="1"/>
  <c r="AZ29" i="1" s="1"/>
  <c r="AY24" i="1"/>
  <c r="AZ24" i="1" s="1"/>
  <c r="AY26" i="1"/>
  <c r="AZ26" i="1" s="1"/>
  <c r="AY22" i="1"/>
  <c r="AZ22" i="1" s="1"/>
  <c r="AY25" i="1"/>
  <c r="AZ25" i="1" s="1"/>
  <c r="AY23" i="1"/>
  <c r="AZ23" i="1" s="1"/>
  <c r="AY20" i="1"/>
  <c r="AZ20" i="1" s="1"/>
  <c r="AY21" i="1"/>
  <c r="AZ21" i="1" s="1"/>
  <c r="AY19" i="1"/>
  <c r="AZ19" i="1" s="1"/>
  <c r="AY18" i="1"/>
  <c r="AZ18" i="1" s="1"/>
  <c r="AY17" i="1"/>
  <c r="AZ17" i="1" s="1"/>
  <c r="AY13" i="1"/>
  <c r="AZ13" i="1" s="1"/>
  <c r="AY14" i="1"/>
  <c r="AZ14" i="1" s="1"/>
  <c r="AY15" i="1"/>
  <c r="AZ15" i="1" s="1"/>
  <c r="AY16" i="1"/>
  <c r="AZ16" i="1" s="1"/>
  <c r="AY12" i="1"/>
  <c r="AZ12" i="1" s="1"/>
  <c r="BD30" i="1"/>
  <c r="BE30" i="1" s="1"/>
  <c r="BD28" i="1"/>
  <c r="BE28" i="1" s="1"/>
  <c r="BD27" i="1"/>
  <c r="BE27" i="1" s="1"/>
  <c r="BD29" i="1"/>
  <c r="BE29" i="1" s="1"/>
  <c r="BD24" i="1"/>
  <c r="BE24" i="1" s="1"/>
  <c r="BD22" i="1"/>
  <c r="BE22" i="1" s="1"/>
  <c r="BD26" i="1"/>
  <c r="BE26" i="1" s="1"/>
  <c r="BD25" i="1"/>
  <c r="BE25" i="1" s="1"/>
  <c r="BD20" i="1"/>
  <c r="BE20" i="1" s="1"/>
  <c r="BD23" i="1"/>
  <c r="BE23" i="1" s="1"/>
  <c r="BD21" i="1"/>
  <c r="BE21" i="1" s="1"/>
  <c r="BD19" i="1"/>
  <c r="BE19" i="1" s="1"/>
  <c r="BD17" i="1"/>
  <c r="BE17" i="1" s="1"/>
  <c r="BD13" i="1"/>
  <c r="BE13" i="1" s="1"/>
  <c r="BD18" i="1"/>
  <c r="BE18" i="1" s="1"/>
  <c r="BD14" i="1"/>
  <c r="BE14" i="1" s="1"/>
  <c r="BD15" i="1"/>
  <c r="BE15" i="1" s="1"/>
  <c r="BD16" i="1"/>
  <c r="BE16" i="1" s="1"/>
  <c r="BD12" i="1"/>
  <c r="BE12" i="1" s="1"/>
  <c r="BI30" i="1"/>
  <c r="BJ30" i="1" s="1"/>
  <c r="BI28" i="1"/>
  <c r="BJ28" i="1" s="1"/>
  <c r="BI27" i="1"/>
  <c r="BJ27" i="1" s="1"/>
  <c r="BI25" i="1"/>
  <c r="BJ25" i="1" s="1"/>
  <c r="BI29" i="1"/>
  <c r="BJ29" i="1" s="1"/>
  <c r="BI24" i="1"/>
  <c r="BJ24" i="1" s="1"/>
  <c r="BI26" i="1"/>
  <c r="BJ26" i="1" s="1"/>
  <c r="BI22" i="1"/>
  <c r="BJ22" i="1" s="1"/>
  <c r="BI20" i="1"/>
  <c r="BJ20" i="1" s="1"/>
  <c r="BI21" i="1"/>
  <c r="BJ21" i="1" s="1"/>
  <c r="BI23" i="1"/>
  <c r="BJ23" i="1" s="1"/>
  <c r="BI19" i="1"/>
  <c r="BJ19" i="1" s="1"/>
  <c r="BI17" i="1"/>
  <c r="BJ17" i="1" s="1"/>
  <c r="BI13" i="1"/>
  <c r="BJ13" i="1" s="1"/>
  <c r="BI14" i="1"/>
  <c r="BJ14" i="1" s="1"/>
  <c r="BI18" i="1"/>
  <c r="BJ18" i="1" s="1"/>
  <c r="BI15" i="1"/>
  <c r="BJ15" i="1" s="1"/>
  <c r="BI16" i="1"/>
  <c r="BJ16" i="1" s="1"/>
  <c r="BI12" i="1"/>
  <c r="BJ12" i="1" s="1"/>
  <c r="BN30" i="1"/>
  <c r="BO30" i="1" s="1"/>
  <c r="BN28" i="1"/>
  <c r="BO28" i="1" s="1"/>
  <c r="BN27" i="1"/>
  <c r="BO27" i="1" s="1"/>
  <c r="BN29" i="1"/>
  <c r="BO29" i="1" s="1"/>
  <c r="BN25" i="1"/>
  <c r="BO25" i="1" s="1"/>
  <c r="BN24" i="1"/>
  <c r="BO24" i="1" s="1"/>
  <c r="BN22" i="1"/>
  <c r="BO22" i="1" s="1"/>
  <c r="BN26" i="1"/>
  <c r="BO26" i="1" s="1"/>
  <c r="BN23" i="1"/>
  <c r="BO23" i="1" s="1"/>
  <c r="BN20" i="1"/>
  <c r="BO20" i="1" s="1"/>
  <c r="BN21" i="1"/>
  <c r="BO21" i="1" s="1"/>
  <c r="BN19" i="1"/>
  <c r="BO19" i="1" s="1"/>
  <c r="BN17" i="1"/>
  <c r="BO17" i="1" s="1"/>
  <c r="BN13" i="1"/>
  <c r="BO13" i="1" s="1"/>
  <c r="BN14" i="1"/>
  <c r="BO14" i="1" s="1"/>
  <c r="BN15" i="1"/>
  <c r="BO15" i="1" s="1"/>
  <c r="BN18" i="1"/>
  <c r="BO18" i="1" s="1"/>
  <c r="BN16" i="1"/>
  <c r="BO16" i="1" s="1"/>
  <c r="BN12" i="1"/>
  <c r="BO12" i="1" s="1"/>
  <c r="BS30" i="1"/>
  <c r="BT30" i="1" s="1"/>
  <c r="BS28" i="1"/>
  <c r="BT28" i="1" s="1"/>
  <c r="BS27" i="1"/>
  <c r="BT27" i="1" s="1"/>
  <c r="BS25" i="1"/>
  <c r="BT25" i="1" s="1"/>
  <c r="BS29" i="1"/>
  <c r="BT29" i="1" s="1"/>
  <c r="BS24" i="1"/>
  <c r="BT24" i="1" s="1"/>
  <c r="BS26" i="1"/>
  <c r="BT26" i="1" s="1"/>
  <c r="BS22" i="1"/>
  <c r="BT22" i="1" s="1"/>
  <c r="BS23" i="1"/>
  <c r="BT23" i="1" s="1"/>
  <c r="BS20" i="1"/>
  <c r="BT20" i="1" s="1"/>
  <c r="BS21" i="1"/>
  <c r="BT21" i="1" s="1"/>
  <c r="BS19" i="1"/>
  <c r="BT19" i="1" s="1"/>
  <c r="BS18" i="1"/>
  <c r="BT18" i="1" s="1"/>
  <c r="BS17" i="1"/>
  <c r="BT17" i="1" s="1"/>
  <c r="BS13" i="1"/>
  <c r="BT13" i="1" s="1"/>
  <c r="BS14" i="1"/>
  <c r="BT14" i="1" s="1"/>
  <c r="BS15" i="1"/>
  <c r="BT15" i="1" s="1"/>
  <c r="BS16" i="1"/>
  <c r="BT16" i="1" s="1"/>
  <c r="BS12" i="1"/>
  <c r="BT12" i="1" s="1"/>
  <c r="BX30" i="1"/>
  <c r="BY30" i="1" s="1"/>
  <c r="BX28" i="1"/>
  <c r="BY28" i="1" s="1"/>
  <c r="BX27" i="1"/>
  <c r="BY27" i="1" s="1"/>
  <c r="BX29" i="1"/>
  <c r="BY29" i="1" s="1"/>
  <c r="BX25" i="1"/>
  <c r="BY25" i="1" s="1"/>
  <c r="BX24" i="1"/>
  <c r="BY24" i="1" s="1"/>
  <c r="BX22" i="1"/>
  <c r="BY22" i="1" s="1"/>
  <c r="BX26" i="1"/>
  <c r="BY26" i="1" s="1"/>
  <c r="BX23" i="1"/>
  <c r="BY23" i="1" s="1"/>
  <c r="BX20" i="1"/>
  <c r="BY20" i="1" s="1"/>
  <c r="BX21" i="1"/>
  <c r="BY21" i="1" s="1"/>
  <c r="BX18" i="1"/>
  <c r="BY18" i="1" s="1"/>
  <c r="BX19" i="1"/>
  <c r="BY19" i="1" s="1"/>
  <c r="BX17" i="1"/>
  <c r="BY17" i="1" s="1"/>
  <c r="BX13" i="1"/>
  <c r="BY13" i="1" s="1"/>
  <c r="BX14" i="1"/>
  <c r="BY14" i="1" s="1"/>
  <c r="BX15" i="1"/>
  <c r="BY15" i="1" s="1"/>
  <c r="BX16" i="1"/>
  <c r="BY16" i="1" s="1"/>
  <c r="BX12" i="1"/>
  <c r="BY12" i="1" s="1"/>
  <c r="CC30" i="1"/>
  <c r="CD30" i="1" s="1"/>
  <c r="CC28" i="1"/>
  <c r="CD28" i="1" s="1"/>
  <c r="CC27" i="1"/>
  <c r="CD27" i="1" s="1"/>
  <c r="CC25" i="1"/>
  <c r="CD25" i="1" s="1"/>
  <c r="CC29" i="1"/>
  <c r="CD29" i="1" s="1"/>
  <c r="CC24" i="1"/>
  <c r="CD24" i="1" s="1"/>
  <c r="CC26" i="1"/>
  <c r="CD26" i="1" s="1"/>
  <c r="CC22" i="1"/>
  <c r="CD22" i="1" s="1"/>
  <c r="CC23" i="1"/>
  <c r="CD23" i="1" s="1"/>
  <c r="CC20" i="1"/>
  <c r="CD20" i="1" s="1"/>
  <c r="CC21" i="1"/>
  <c r="CD21" i="1" s="1"/>
  <c r="CC18" i="1"/>
  <c r="CD18" i="1" s="1"/>
  <c r="CC19" i="1"/>
  <c r="CD19" i="1" s="1"/>
  <c r="CC17" i="1"/>
  <c r="CD17" i="1" s="1"/>
  <c r="CC13" i="1"/>
  <c r="CD13" i="1" s="1"/>
  <c r="CC14" i="1"/>
  <c r="CD14" i="1" s="1"/>
  <c r="CC15" i="1"/>
  <c r="CD15" i="1" s="1"/>
  <c r="CC16" i="1"/>
  <c r="CD16" i="1" s="1"/>
  <c r="CC12" i="1"/>
  <c r="CD12" i="1" s="1"/>
  <c r="CH30" i="1"/>
  <c r="CI30" i="1" s="1"/>
  <c r="CH28" i="1"/>
  <c r="CI28" i="1" s="1"/>
  <c r="CH27" i="1"/>
  <c r="CI27" i="1" s="1"/>
  <c r="CH29" i="1"/>
  <c r="CI29" i="1" s="1"/>
  <c r="CH25" i="1"/>
  <c r="CI25" i="1" s="1"/>
  <c r="CH24" i="1"/>
  <c r="CI24" i="1" s="1"/>
  <c r="CH22" i="1"/>
  <c r="CI22" i="1" s="1"/>
  <c r="CH26" i="1"/>
  <c r="CI26" i="1" s="1"/>
  <c r="CH23" i="1"/>
  <c r="CI23" i="1" s="1"/>
  <c r="CH20" i="1"/>
  <c r="CI20" i="1" s="1"/>
  <c r="CH21" i="1"/>
  <c r="CI21" i="1" s="1"/>
  <c r="CH18" i="1"/>
  <c r="CI18" i="1" s="1"/>
  <c r="CH19" i="1"/>
  <c r="CI19" i="1" s="1"/>
  <c r="CH17" i="1"/>
  <c r="CI17" i="1" s="1"/>
  <c r="CH13" i="1"/>
  <c r="CI13" i="1" s="1"/>
  <c r="CH14" i="1"/>
  <c r="CI14" i="1" s="1"/>
  <c r="CH10" i="1"/>
  <c r="CI10" i="1" s="1"/>
  <c r="CH15" i="1"/>
  <c r="CI15" i="1" s="1"/>
  <c r="CH16" i="1"/>
  <c r="CI16" i="1" s="1"/>
  <c r="CH12" i="1"/>
  <c r="CI12" i="1" s="1"/>
  <c r="CM30" i="1"/>
  <c r="CN30" i="1" s="1"/>
  <c r="CM28" i="1"/>
  <c r="CN28" i="1" s="1"/>
  <c r="CM27" i="1"/>
  <c r="CN27" i="1" s="1"/>
  <c r="CM25" i="1"/>
  <c r="CN25" i="1" s="1"/>
  <c r="CM29" i="1"/>
  <c r="CN29" i="1" s="1"/>
  <c r="CM24" i="1"/>
  <c r="CN24" i="1" s="1"/>
  <c r="CM26" i="1"/>
  <c r="CN26" i="1" s="1"/>
  <c r="CM21" i="1"/>
  <c r="CN21" i="1" s="1"/>
  <c r="CM22" i="1"/>
  <c r="CN22" i="1" s="1"/>
  <c r="CM23" i="1"/>
  <c r="CN23" i="1" s="1"/>
  <c r="CM20" i="1"/>
  <c r="CN20" i="1" s="1"/>
  <c r="CM18" i="1"/>
  <c r="CN18" i="1" s="1"/>
  <c r="CM19" i="1"/>
  <c r="CN19" i="1" s="1"/>
  <c r="CM17" i="1"/>
  <c r="CN17" i="1" s="1"/>
  <c r="CM13" i="1"/>
  <c r="CN13" i="1" s="1"/>
  <c r="CM14" i="1"/>
  <c r="CN14" i="1" s="1"/>
  <c r="CM10" i="1"/>
  <c r="CN10" i="1" s="1"/>
  <c r="CM15" i="1"/>
  <c r="CN15" i="1" s="1"/>
  <c r="CM11" i="1"/>
  <c r="CN11" i="1" s="1"/>
  <c r="CM16" i="1"/>
  <c r="CN16" i="1" s="1"/>
  <c r="CM12" i="1"/>
  <c r="CN12" i="1" s="1"/>
  <c r="CR30" i="1"/>
  <c r="CS30" i="1" s="1"/>
  <c r="CR28" i="1"/>
  <c r="CS28" i="1" s="1"/>
  <c r="CR27" i="1"/>
  <c r="CS27" i="1" s="1"/>
  <c r="CR29" i="1"/>
  <c r="CS29" i="1" s="1"/>
  <c r="CR25" i="1"/>
  <c r="CS25" i="1" s="1"/>
  <c r="CR24" i="1"/>
  <c r="CS24" i="1" s="1"/>
  <c r="CR21" i="1"/>
  <c r="CS21" i="1" s="1"/>
  <c r="CR22" i="1"/>
  <c r="CS22" i="1" s="1"/>
  <c r="CR26" i="1"/>
  <c r="CS26" i="1" s="1"/>
  <c r="CR23" i="1"/>
  <c r="CS23" i="1" s="1"/>
  <c r="CR20" i="1"/>
  <c r="CS20" i="1" s="1"/>
  <c r="CR18" i="1"/>
  <c r="CS18" i="1" s="1"/>
  <c r="CR19" i="1"/>
  <c r="CS19" i="1" s="1"/>
  <c r="CR17" i="1"/>
  <c r="CS17" i="1" s="1"/>
  <c r="CR13" i="1"/>
  <c r="CS13" i="1" s="1"/>
  <c r="CR14" i="1"/>
  <c r="CS14" i="1" s="1"/>
  <c r="CR10" i="1"/>
  <c r="CS10" i="1" s="1"/>
  <c r="CR15" i="1"/>
  <c r="CS15" i="1" s="1"/>
  <c r="CR11" i="1"/>
  <c r="CS11" i="1" s="1"/>
  <c r="CR16" i="1"/>
  <c r="CS16" i="1" s="1"/>
  <c r="CR12" i="1"/>
  <c r="CS12" i="1" s="1"/>
  <c r="CW30" i="1"/>
  <c r="CX30" i="1" s="1"/>
  <c r="CW28" i="1"/>
  <c r="CX28" i="1" s="1"/>
  <c r="CW27" i="1"/>
  <c r="CX27" i="1" s="1"/>
  <c r="CW25" i="1"/>
  <c r="CX25" i="1" s="1"/>
  <c r="CW29" i="1"/>
  <c r="CX29" i="1" s="1"/>
  <c r="CW24" i="1"/>
  <c r="CX24" i="1" s="1"/>
  <c r="CW26" i="1"/>
  <c r="CX26" i="1" s="1"/>
  <c r="CW21" i="1"/>
  <c r="CX21" i="1" s="1"/>
  <c r="CW22" i="1"/>
  <c r="CX22" i="1" s="1"/>
  <c r="CW23" i="1"/>
  <c r="CX23" i="1" s="1"/>
  <c r="CW20" i="1"/>
  <c r="CX20" i="1" s="1"/>
  <c r="CW18" i="1"/>
  <c r="CX18" i="1" s="1"/>
  <c r="CW19" i="1"/>
  <c r="CX19" i="1" s="1"/>
  <c r="CW17" i="1"/>
  <c r="CX17" i="1" s="1"/>
  <c r="CW13" i="1"/>
  <c r="CX13" i="1" s="1"/>
  <c r="CW14" i="1"/>
  <c r="CX14" i="1" s="1"/>
  <c r="CW10" i="1"/>
  <c r="CX10" i="1" s="1"/>
  <c r="CW15" i="1"/>
  <c r="CX15" i="1" s="1"/>
  <c r="CW11" i="1"/>
  <c r="CX11" i="1" s="1"/>
  <c r="CW16" i="1"/>
  <c r="CX16" i="1" s="1"/>
  <c r="CW12" i="1"/>
  <c r="CX12" i="1" s="1"/>
  <c r="DB30" i="1"/>
  <c r="DC30" i="1" s="1"/>
  <c r="DB28" i="1"/>
  <c r="DC28" i="1" s="1"/>
  <c r="DB27" i="1"/>
  <c r="DC27" i="1" s="1"/>
  <c r="DB29" i="1"/>
  <c r="DC29" i="1" s="1"/>
  <c r="DB25" i="1"/>
  <c r="DC25" i="1" s="1"/>
  <c r="DB24" i="1"/>
  <c r="DC24" i="1" s="1"/>
  <c r="DB21" i="1"/>
  <c r="DC21" i="1" s="1"/>
  <c r="DB22" i="1"/>
  <c r="DC22" i="1" s="1"/>
  <c r="DB26" i="1"/>
  <c r="DC26" i="1" s="1"/>
  <c r="DB23" i="1"/>
  <c r="DC23" i="1" s="1"/>
  <c r="DB20" i="1"/>
  <c r="DC20" i="1" s="1"/>
  <c r="DB18" i="1"/>
  <c r="DC18" i="1" s="1"/>
  <c r="DB19" i="1"/>
  <c r="DC19" i="1" s="1"/>
  <c r="DB17" i="1"/>
  <c r="DC17" i="1" s="1"/>
  <c r="DB13" i="1"/>
  <c r="DC13" i="1" s="1"/>
  <c r="DB14" i="1"/>
  <c r="DC14" i="1" s="1"/>
  <c r="DB10" i="1"/>
  <c r="DC10" i="1" s="1"/>
  <c r="DB15" i="1"/>
  <c r="DC15" i="1" s="1"/>
  <c r="DB11" i="1"/>
  <c r="DC11" i="1" s="1"/>
  <c r="DB16" i="1"/>
  <c r="DC16" i="1" s="1"/>
  <c r="DB12" i="1"/>
  <c r="DC12" i="1" s="1"/>
  <c r="DG30" i="1"/>
  <c r="DH30" i="1" s="1"/>
  <c r="DG28" i="1"/>
  <c r="DH28" i="1" s="1"/>
  <c r="DG27" i="1"/>
  <c r="DH27" i="1" s="1"/>
  <c r="DG25" i="1"/>
  <c r="DH25" i="1" s="1"/>
  <c r="DG29" i="1"/>
  <c r="DH29" i="1" s="1"/>
  <c r="DG26" i="1"/>
  <c r="DH26" i="1" s="1"/>
  <c r="DG24" i="1"/>
  <c r="DH24" i="1" s="1"/>
  <c r="DG21" i="1"/>
  <c r="DH21" i="1" s="1"/>
  <c r="DG22" i="1"/>
  <c r="DH22" i="1" s="1"/>
  <c r="DG23" i="1"/>
  <c r="DH23" i="1" s="1"/>
  <c r="DG20" i="1"/>
  <c r="DH20" i="1" s="1"/>
  <c r="DG18" i="1"/>
  <c r="DH18" i="1" s="1"/>
  <c r="DG19" i="1"/>
  <c r="DH19" i="1" s="1"/>
  <c r="DG17" i="1"/>
  <c r="DH17" i="1" s="1"/>
  <c r="DG13" i="1"/>
  <c r="DH13" i="1" s="1"/>
  <c r="DG14" i="1"/>
  <c r="DH14" i="1" s="1"/>
  <c r="DG10" i="1"/>
  <c r="DH10" i="1" s="1"/>
  <c r="DG15" i="1"/>
  <c r="DH15" i="1" s="1"/>
  <c r="DG11" i="1"/>
  <c r="DH11" i="1" s="1"/>
  <c r="DG16" i="1"/>
  <c r="DH16" i="1" s="1"/>
  <c r="DG12" i="1"/>
  <c r="DH12" i="1" s="1"/>
  <c r="DL30" i="1"/>
  <c r="DM30" i="1" s="1"/>
  <c r="DL28" i="1"/>
  <c r="DM28" i="1" s="1"/>
  <c r="DL29" i="1"/>
  <c r="DM29" i="1" s="1"/>
  <c r="DL27" i="1"/>
  <c r="DM27" i="1" s="1"/>
  <c r="DL25" i="1"/>
  <c r="DM25" i="1" s="1"/>
  <c r="DL26" i="1"/>
  <c r="DM26" i="1" s="1"/>
  <c r="DL24" i="1"/>
  <c r="DM24" i="1" s="1"/>
  <c r="DL21" i="1"/>
  <c r="DM21" i="1" s="1"/>
  <c r="DL22" i="1"/>
  <c r="DM22" i="1" s="1"/>
  <c r="DL23" i="1"/>
  <c r="DM23" i="1" s="1"/>
  <c r="DL20" i="1"/>
  <c r="DM20" i="1" s="1"/>
  <c r="DL18" i="1"/>
  <c r="DM18" i="1" s="1"/>
  <c r="DL19" i="1"/>
  <c r="DM19" i="1" s="1"/>
  <c r="DL17" i="1"/>
  <c r="DM17" i="1" s="1"/>
  <c r="DL13" i="1"/>
  <c r="DM13" i="1" s="1"/>
  <c r="DL14" i="1"/>
  <c r="DM14" i="1" s="1"/>
  <c r="DL10" i="1"/>
  <c r="DM10" i="1" s="1"/>
  <c r="DL15" i="1"/>
  <c r="DM15" i="1" s="1"/>
  <c r="DL11" i="1"/>
  <c r="DM11" i="1" s="1"/>
  <c r="DL16" i="1"/>
  <c r="DM16" i="1" s="1"/>
  <c r="DL12" i="1"/>
  <c r="DM12" i="1" s="1"/>
  <c r="DQ30" i="1"/>
  <c r="DR30" i="1" s="1"/>
  <c r="DQ28" i="1"/>
  <c r="DR28" i="1" s="1"/>
  <c r="DQ25" i="1"/>
  <c r="DR25" i="1" s="1"/>
  <c r="DQ29" i="1"/>
  <c r="DR29" i="1" s="1"/>
  <c r="DQ27" i="1"/>
  <c r="DR27" i="1" s="1"/>
  <c r="DQ26" i="1"/>
  <c r="DR26" i="1" s="1"/>
  <c r="DQ24" i="1"/>
  <c r="DR24" i="1" s="1"/>
  <c r="DQ21" i="1"/>
  <c r="DR21" i="1" s="1"/>
  <c r="DQ22" i="1"/>
  <c r="DR22" i="1" s="1"/>
  <c r="DQ23" i="1"/>
  <c r="DR23" i="1" s="1"/>
  <c r="DQ20" i="1"/>
  <c r="DR20" i="1" s="1"/>
  <c r="DQ18" i="1"/>
  <c r="DR18" i="1" s="1"/>
  <c r="DQ19" i="1"/>
  <c r="DR19" i="1" s="1"/>
  <c r="DQ17" i="1"/>
  <c r="DR17" i="1" s="1"/>
  <c r="DQ13" i="1"/>
  <c r="DR13" i="1" s="1"/>
  <c r="DQ14" i="1"/>
  <c r="DR14" i="1" s="1"/>
  <c r="DQ10" i="1"/>
  <c r="DR10" i="1" s="1"/>
  <c r="DQ15" i="1"/>
  <c r="DR15" i="1" s="1"/>
  <c r="DQ11" i="1"/>
  <c r="DR11" i="1" s="1"/>
  <c r="DQ16" i="1"/>
  <c r="DR16" i="1" s="1"/>
  <c r="DQ12" i="1"/>
  <c r="DR12" i="1" s="1"/>
  <c r="DV30" i="1"/>
  <c r="DW30" i="1" s="1"/>
  <c r="DV28" i="1"/>
  <c r="DW28" i="1" s="1"/>
  <c r="DV27" i="1"/>
  <c r="DW27" i="1" s="1"/>
  <c r="DV29" i="1"/>
  <c r="DW29" i="1" s="1"/>
  <c r="DV25" i="1"/>
  <c r="DW25" i="1" s="1"/>
  <c r="DV26" i="1"/>
  <c r="DW26" i="1" s="1"/>
  <c r="DV24" i="1"/>
  <c r="DW24" i="1" s="1"/>
  <c r="DV21" i="1"/>
  <c r="DW21" i="1" s="1"/>
  <c r="DV22" i="1"/>
  <c r="DW22" i="1" s="1"/>
  <c r="DV23" i="1"/>
  <c r="DW23" i="1" s="1"/>
  <c r="DV20" i="1"/>
  <c r="DW20" i="1" s="1"/>
  <c r="DV18" i="1"/>
  <c r="DW18" i="1" s="1"/>
  <c r="DV19" i="1"/>
  <c r="DW19" i="1" s="1"/>
  <c r="DV17" i="1"/>
  <c r="DW17" i="1" s="1"/>
  <c r="DV13" i="1"/>
  <c r="DW13" i="1" s="1"/>
  <c r="DV14" i="1"/>
  <c r="DW14" i="1" s="1"/>
  <c r="DV10" i="1"/>
  <c r="DW10" i="1" s="1"/>
  <c r="DV15" i="1"/>
  <c r="DW15" i="1" s="1"/>
  <c r="DV11" i="1"/>
  <c r="DW11" i="1" s="1"/>
  <c r="DV16" i="1"/>
  <c r="DW16" i="1" s="1"/>
  <c r="DV12" i="1"/>
  <c r="DW12" i="1" s="1"/>
  <c r="EA30" i="1"/>
  <c r="EB30" i="1" s="1"/>
  <c r="EA28" i="1"/>
  <c r="EB28" i="1" s="1"/>
  <c r="EA27" i="1"/>
  <c r="EB27" i="1" s="1"/>
  <c r="EA25" i="1"/>
  <c r="EB25" i="1" s="1"/>
  <c r="EA29" i="1"/>
  <c r="EB29" i="1" s="1"/>
  <c r="EA26" i="1"/>
  <c r="EB26" i="1" s="1"/>
  <c r="EA24" i="1"/>
  <c r="EB24" i="1" s="1"/>
  <c r="EA21" i="1"/>
  <c r="EB21" i="1" s="1"/>
  <c r="EA22" i="1"/>
  <c r="EB22" i="1" s="1"/>
  <c r="EA23" i="1"/>
  <c r="EB23" i="1" s="1"/>
  <c r="EA20" i="1"/>
  <c r="EB20" i="1" s="1"/>
  <c r="EA17" i="1"/>
  <c r="EB17" i="1" s="1"/>
  <c r="EA18" i="1"/>
  <c r="EB18" i="1" s="1"/>
  <c r="EA19" i="1"/>
  <c r="EB19" i="1" s="1"/>
  <c r="EA13" i="1"/>
  <c r="EB13" i="1" s="1"/>
  <c r="EA14" i="1"/>
  <c r="EB14" i="1" s="1"/>
  <c r="EA10" i="1"/>
  <c r="EB10" i="1" s="1"/>
  <c r="EA15" i="1"/>
  <c r="EB15" i="1" s="1"/>
  <c r="EA11" i="1"/>
  <c r="EB11" i="1" s="1"/>
  <c r="EA16" i="1"/>
  <c r="EB16" i="1" s="1"/>
  <c r="EA12" i="1"/>
  <c r="EB12" i="1" s="1"/>
  <c r="EF30" i="1"/>
  <c r="EG30" i="1" s="1"/>
  <c r="EF28" i="1"/>
  <c r="EG28" i="1" s="1"/>
  <c r="EF29" i="1"/>
  <c r="EG29" i="1" s="1"/>
  <c r="EF27" i="1"/>
  <c r="EG27" i="1" s="1"/>
  <c r="EF25" i="1"/>
  <c r="EG25" i="1" s="1"/>
  <c r="EF26" i="1"/>
  <c r="EG26" i="1" s="1"/>
  <c r="EF24" i="1"/>
  <c r="EG24" i="1" s="1"/>
  <c r="EF21" i="1"/>
  <c r="EG21" i="1" s="1"/>
  <c r="EF22" i="1"/>
  <c r="EG22" i="1" s="1"/>
  <c r="EF23" i="1"/>
  <c r="EG23" i="1" s="1"/>
  <c r="EF20" i="1"/>
  <c r="EG20" i="1" s="1"/>
  <c r="EF17" i="1"/>
  <c r="EG17" i="1" s="1"/>
  <c r="EF18" i="1"/>
  <c r="EG18" i="1" s="1"/>
  <c r="EF19" i="1"/>
  <c r="EG19" i="1" s="1"/>
  <c r="EF13" i="1"/>
  <c r="EG13" i="1" s="1"/>
  <c r="EF14" i="1"/>
  <c r="EG14" i="1" s="1"/>
  <c r="EF10" i="1"/>
  <c r="EG10" i="1" s="1"/>
  <c r="EF15" i="1"/>
  <c r="EG15" i="1" s="1"/>
  <c r="EF11" i="1"/>
  <c r="EG11" i="1" s="1"/>
  <c r="EF16" i="1"/>
  <c r="EG16" i="1" s="1"/>
  <c r="EF12" i="1"/>
  <c r="EG12" i="1" s="1"/>
  <c r="EK30" i="1"/>
  <c r="EL30" i="1" s="1"/>
  <c r="EK28" i="1"/>
  <c r="EL28" i="1" s="1"/>
  <c r="EK25" i="1"/>
  <c r="EL25" i="1" s="1"/>
  <c r="EK29" i="1"/>
  <c r="EL29" i="1" s="1"/>
  <c r="EK27" i="1"/>
  <c r="EL27" i="1" s="1"/>
  <c r="EK26" i="1"/>
  <c r="EL26" i="1" s="1"/>
  <c r="EK24" i="1"/>
  <c r="EL24" i="1" s="1"/>
  <c r="EK21" i="1"/>
  <c r="EL21" i="1" s="1"/>
  <c r="EK22" i="1"/>
  <c r="EL22" i="1" s="1"/>
  <c r="EK23" i="1"/>
  <c r="EL23" i="1" s="1"/>
  <c r="EK20" i="1"/>
  <c r="EL20" i="1" s="1"/>
  <c r="EK17" i="1"/>
  <c r="EL17" i="1" s="1"/>
  <c r="EK18" i="1"/>
  <c r="EL18" i="1" s="1"/>
  <c r="EK19" i="1"/>
  <c r="EL19" i="1" s="1"/>
  <c r="EK13" i="1"/>
  <c r="EL13" i="1" s="1"/>
  <c r="EK14" i="1"/>
  <c r="EL14" i="1" s="1"/>
  <c r="EK10" i="1"/>
  <c r="EL10" i="1" s="1"/>
  <c r="EK15" i="1"/>
  <c r="EL15" i="1" s="1"/>
  <c r="EK11" i="1"/>
  <c r="EL11" i="1" s="1"/>
  <c r="EK16" i="1"/>
  <c r="EL16" i="1" s="1"/>
  <c r="EK12" i="1"/>
  <c r="EL12" i="1" s="1"/>
  <c r="U8" i="1"/>
  <c r="V8" i="1" s="1"/>
  <c r="Z8" i="1"/>
  <c r="AA8" i="1" s="1"/>
  <c r="AE8" i="1"/>
  <c r="AF8" i="1" s="1"/>
  <c r="AJ8" i="1"/>
  <c r="AK8" i="1" s="1"/>
  <c r="AO8" i="1"/>
  <c r="AP8" i="1" s="1"/>
  <c r="AT8" i="1"/>
  <c r="AU8" i="1" s="1"/>
  <c r="AY8" i="1"/>
  <c r="AZ8" i="1" s="1"/>
  <c r="BD8" i="1"/>
  <c r="BE8" i="1" s="1"/>
  <c r="BI8" i="1"/>
  <c r="BJ8" i="1" s="1"/>
  <c r="BN8" i="1"/>
  <c r="BO8" i="1" s="1"/>
  <c r="BS8" i="1"/>
  <c r="BT8" i="1" s="1"/>
  <c r="BX8" i="1"/>
  <c r="BY8" i="1" s="1"/>
  <c r="CC8" i="1"/>
  <c r="CD8" i="1" s="1"/>
  <c r="CH8" i="1"/>
  <c r="CI8" i="1" s="1"/>
  <c r="CM8" i="1"/>
  <c r="CN8" i="1" s="1"/>
  <c r="CR8" i="1"/>
  <c r="CS8" i="1" s="1"/>
  <c r="CW8" i="1"/>
  <c r="CX8" i="1" s="1"/>
  <c r="DB8" i="1"/>
  <c r="DC8" i="1" s="1"/>
  <c r="DG8" i="1"/>
  <c r="DH8" i="1" s="1"/>
  <c r="DL8" i="1"/>
  <c r="DM8" i="1" s="1"/>
  <c r="DQ8" i="1"/>
  <c r="DR8" i="1" s="1"/>
  <c r="DV8" i="1"/>
  <c r="DW8" i="1" s="1"/>
  <c r="EA8" i="1"/>
  <c r="EB8" i="1" s="1"/>
  <c r="EF8" i="1"/>
  <c r="EG8" i="1" s="1"/>
  <c r="EK8" i="1"/>
  <c r="EL8" i="1" s="1"/>
  <c r="Y11" i="1"/>
  <c r="AI11" i="1"/>
  <c r="AS11" i="1"/>
  <c r="BC11" i="1"/>
  <c r="BM11" i="1"/>
  <c r="BW11" i="1"/>
  <c r="CG11" i="1"/>
  <c r="CV11" i="1"/>
  <c r="DP11" i="1"/>
  <c r="EJ11" i="1"/>
  <c r="AD13" i="1"/>
  <c r="AX13" i="1"/>
  <c r="BR13" i="1"/>
  <c r="CL13" i="1"/>
  <c r="DF13" i="1"/>
  <c r="DZ13" i="1"/>
  <c r="T15" i="1"/>
  <c r="AN15" i="1"/>
  <c r="BH15" i="1"/>
  <c r="CB15" i="1"/>
  <c r="CV15" i="1"/>
  <c r="DP15" i="1"/>
  <c r="EJ15" i="1"/>
  <c r="AD17" i="1"/>
  <c r="AX17" i="1"/>
  <c r="BR17" i="1"/>
  <c r="CL17" i="1"/>
  <c r="DF17" i="1"/>
  <c r="DZ17" i="1"/>
  <c r="T6" i="1"/>
  <c r="Y6" i="1"/>
  <c r="AD6" i="1"/>
  <c r="U7" i="1"/>
  <c r="V7" i="1" s="1"/>
  <c r="Z7" i="1"/>
  <c r="AA7" i="1" s="1"/>
  <c r="AE7" i="1"/>
  <c r="AF7" i="1" s="1"/>
  <c r="AJ7" i="1"/>
  <c r="AK7" i="1" s="1"/>
  <c r="AO7" i="1"/>
  <c r="AP7" i="1" s="1"/>
  <c r="AT7" i="1"/>
  <c r="AU7" i="1" s="1"/>
  <c r="AY7" i="1"/>
  <c r="AZ7" i="1" s="1"/>
  <c r="BD7" i="1"/>
  <c r="BE7" i="1" s="1"/>
  <c r="BI7" i="1"/>
  <c r="BJ7" i="1" s="1"/>
  <c r="BN7" i="1"/>
  <c r="BO7" i="1" s="1"/>
  <c r="BS7" i="1"/>
  <c r="BT7" i="1" s="1"/>
  <c r="BX7" i="1"/>
  <c r="BY7" i="1" s="1"/>
  <c r="CC7" i="1"/>
  <c r="CD7" i="1" s="1"/>
  <c r="CH7" i="1"/>
  <c r="CI7" i="1" s="1"/>
  <c r="CM7" i="1"/>
  <c r="CN7" i="1" s="1"/>
  <c r="CR7" i="1"/>
  <c r="CS7" i="1" s="1"/>
  <c r="CW7" i="1"/>
  <c r="CX7" i="1" s="1"/>
  <c r="DB7" i="1"/>
  <c r="DC7" i="1" s="1"/>
  <c r="DG7" i="1"/>
  <c r="DH7" i="1" s="1"/>
  <c r="DL7" i="1"/>
  <c r="DM7" i="1" s="1"/>
  <c r="DQ7" i="1"/>
  <c r="DR7" i="1" s="1"/>
  <c r="DV7" i="1"/>
  <c r="DW7" i="1" s="1"/>
  <c r="EA7" i="1"/>
  <c r="EB7" i="1" s="1"/>
  <c r="EF7" i="1"/>
  <c r="EG7" i="1" s="1"/>
  <c r="EK7" i="1"/>
  <c r="EL7" i="1" s="1"/>
  <c r="Z11" i="1"/>
  <c r="AA11" i="1" s="1"/>
  <c r="AJ11" i="1"/>
  <c r="AK11" i="1" s="1"/>
  <c r="AT11" i="1"/>
  <c r="AU11" i="1" s="1"/>
  <c r="BD11" i="1"/>
  <c r="BE11" i="1" s="1"/>
  <c r="BN11" i="1"/>
  <c r="BO11" i="1" s="1"/>
  <c r="BX11" i="1"/>
  <c r="BY11" i="1" s="1"/>
  <c r="CH11" i="1"/>
  <c r="CI11" i="1" s="1"/>
  <c r="DA11" i="1"/>
  <c r="DU11" i="1"/>
  <c r="AI13" i="1"/>
  <c r="BC13" i="1"/>
  <c r="BW13" i="1"/>
  <c r="CQ13" i="1"/>
  <c r="DK13" i="1"/>
  <c r="EE13" i="1"/>
  <c r="Y15" i="1"/>
  <c r="AS15" i="1"/>
  <c r="BM15" i="1"/>
  <c r="CG15" i="1"/>
  <c r="DA15" i="1"/>
  <c r="DU15" i="1"/>
  <c r="AI17" i="1"/>
  <c r="BC17" i="1"/>
  <c r="BW17" i="1"/>
  <c r="CQ17" i="1"/>
  <c r="DK17" i="1"/>
  <c r="T18" i="1"/>
  <c r="AN18" i="1"/>
  <c r="BH18" i="1"/>
  <c r="DP18" i="1"/>
  <c r="EJ18" i="1"/>
  <c r="Y22" i="1"/>
  <c r="AS22" i="1"/>
  <c r="BM22" i="1"/>
  <c r="CG22" i="1"/>
  <c r="DA22" i="1"/>
  <c r="DU22" i="1"/>
  <c r="DU18" i="1"/>
  <c r="DA21" i="1"/>
  <c r="DU21" i="1"/>
  <c r="AD22" i="1"/>
  <c r="AX22" i="1"/>
  <c r="BR22" i="1"/>
  <c r="CL22" i="1"/>
  <c r="DF22" i="1"/>
  <c r="DZ22" i="1"/>
  <c r="DF18" i="1"/>
  <c r="DZ18" i="1"/>
  <c r="AI22" i="1"/>
  <c r="BC22" i="1"/>
  <c r="BW22" i="1"/>
  <c r="CQ22" i="1"/>
  <c r="DK22" i="1"/>
  <c r="EE22" i="1"/>
  <c r="DK18" i="1"/>
  <c r="EE18" i="1"/>
  <c r="CQ21" i="1"/>
  <c r="DK21" i="1"/>
  <c r="EE21" i="1"/>
  <c r="T22" i="1"/>
  <c r="AN22" i="1"/>
  <c r="BH22" i="1"/>
  <c r="CB22" i="1"/>
  <c r="CV22" i="1"/>
  <c r="DP22" i="1"/>
  <c r="EJ22" i="1"/>
  <c r="DU26" i="1"/>
  <c r="T26" i="1"/>
  <c r="AD26" i="1"/>
  <c r="AN26" i="1"/>
  <c r="AX26" i="1"/>
  <c r="BH26" i="1"/>
  <c r="BR26" i="1"/>
  <c r="CB26" i="1"/>
  <c r="CL26" i="1"/>
  <c r="CV26" i="1"/>
  <c r="DF26" i="1"/>
  <c r="DZ26" i="1"/>
  <c r="T28" i="1"/>
  <c r="AN28" i="1"/>
  <c r="BH28" i="1"/>
  <c r="CB28" i="1"/>
  <c r="CV28" i="1"/>
  <c r="DP28" i="1"/>
  <c r="EJ28" i="1"/>
  <c r="DK26" i="1"/>
  <c r="EE26" i="1"/>
  <c r="Y26" i="1"/>
  <c r="AI26" i="1"/>
  <c r="AS26" i="1"/>
  <c r="BC26" i="1"/>
  <c r="BM26" i="1"/>
  <c r="BW26" i="1"/>
  <c r="CG26" i="1"/>
  <c r="CQ26" i="1"/>
  <c r="DA26" i="1"/>
  <c r="DP26" i="1"/>
  <c r="EJ26" i="1"/>
  <c r="AD28" i="1"/>
  <c r="AX28" i="1"/>
  <c r="BR28" i="1"/>
  <c r="CL28" i="1"/>
  <c r="DF28" i="1"/>
  <c r="DZ28" i="1"/>
  <c r="DK27" i="1"/>
  <c r="EE27" i="1"/>
  <c r="Y30" i="1"/>
  <c r="AS30" i="1"/>
  <c r="BM30" i="1"/>
  <c r="CG30" i="1"/>
  <c r="DA30" i="1"/>
  <c r="DU30" i="1"/>
  <c r="DF27" i="1"/>
  <c r="DZ27" i="1"/>
  <c r="Y29" i="1"/>
  <c r="AI29" i="1"/>
  <c r="AS29" i="1"/>
  <c r="BC29" i="1"/>
  <c r="BM29" i="1"/>
  <c r="BW29" i="1"/>
  <c r="CG29" i="1"/>
  <c r="CQ29" i="1"/>
  <c r="DA29" i="1"/>
  <c r="DK29" i="1"/>
  <c r="DU29" i="1"/>
  <c r="EE29" i="1"/>
  <c r="AD30" i="1"/>
  <c r="AX30" i="1"/>
  <c r="BR30" i="1"/>
  <c r="CL30" i="1"/>
  <c r="DF30" i="1"/>
  <c r="DZ30" i="1"/>
  <c r="DU27" i="1"/>
  <c r="AI30" i="1"/>
  <c r="BC30" i="1"/>
  <c r="BW30" i="1"/>
  <c r="CQ30" i="1"/>
  <c r="DK30" i="1"/>
  <c r="EE30" i="1"/>
  <c r="DP27" i="1"/>
  <c r="EJ27" i="1"/>
  <c r="T29" i="1"/>
  <c r="AD29" i="1"/>
  <c r="AN29" i="1"/>
  <c r="AX29" i="1"/>
  <c r="BH29" i="1"/>
  <c r="BR29" i="1"/>
  <c r="CB29" i="1"/>
  <c r="CL29" i="1"/>
  <c r="CV29" i="1"/>
  <c r="DF29" i="1"/>
  <c r="DP29" i="1"/>
  <c r="DZ29" i="1"/>
  <c r="EJ29" i="1"/>
  <c r="T30" i="1"/>
  <c r="AN30" i="1"/>
  <c r="BH30" i="1"/>
  <c r="CB30" i="1"/>
  <c r="CV30" i="1"/>
  <c r="DP30" i="1"/>
  <c r="EJ30" i="1"/>
  <c r="V6" i="1" l="1"/>
</calcChain>
</file>

<file path=xl/sharedStrings.xml><?xml version="1.0" encoding="utf-8"?>
<sst xmlns="http://schemas.openxmlformats.org/spreadsheetml/2006/main" count="129" uniqueCount="39">
  <si>
    <t>PROBABILIDADE</t>
  </si>
  <si>
    <t>IMPACTO</t>
  </si>
  <si>
    <t>Muito Alto</t>
  </si>
  <si>
    <t>AAA</t>
  </si>
  <si>
    <t>BBB</t>
  </si>
  <si>
    <t>CCC</t>
  </si>
  <si>
    <t>DDD</t>
  </si>
  <si>
    <t>EEE</t>
  </si>
  <si>
    <t>FFF</t>
  </si>
  <si>
    <t>GGG</t>
  </si>
  <si>
    <t>HHH</t>
  </si>
  <si>
    <t>III</t>
  </si>
  <si>
    <t>JJJ</t>
  </si>
  <si>
    <t>KKK</t>
  </si>
  <si>
    <t>LLL</t>
  </si>
  <si>
    <t>MMM</t>
  </si>
  <si>
    <t>NNN</t>
  </si>
  <si>
    <t>OOO</t>
  </si>
  <si>
    <t>PPP</t>
  </si>
  <si>
    <t>QQQ</t>
  </si>
  <si>
    <t>RRR</t>
  </si>
  <si>
    <t>SSS</t>
  </si>
  <si>
    <t>TTT</t>
  </si>
  <si>
    <t>UUU</t>
  </si>
  <si>
    <t>VVV</t>
  </si>
  <si>
    <t>XXX</t>
  </si>
  <si>
    <t>YYY</t>
  </si>
  <si>
    <t>WWW</t>
  </si>
  <si>
    <t>ZZZ</t>
  </si>
  <si>
    <t>Alto</t>
  </si>
  <si>
    <t>Moderado</t>
  </si>
  <si>
    <t>Baixo</t>
  </si>
  <si>
    <t>Desprezível</t>
  </si>
  <si>
    <t>AAB</t>
  </si>
  <si>
    <t>AAC</t>
  </si>
  <si>
    <t>AAD</t>
  </si>
  <si>
    <t>AAE</t>
  </si>
  <si>
    <t>AAF</t>
  </si>
  <si>
    <t>RISCO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</si>
</sst>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0" borderId="1" xfId="0" applyBorder="1"/>
    <xf numFmtId="0" fontId="2" fillId="2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0" xfId="0" applyFont="1" applyAlignment="1">
      <alignment horizontal="centerContinuous" vertical="distributed"/>
    </xf>
    <xf numFmtId="0" fontId="0" fillId="0" borderId="0" xfId="0" applyAlignment="1">
      <alignment horizontal="centerContinuous" vertical="distributed"/>
    </xf>
    <xf numFmtId="0" fontId="1" fillId="0" borderId="8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left" vertical="center" wrapText="1" indent="1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4</xdr:row>
      <xdr:rowOff>57150</xdr:rowOff>
    </xdr:from>
    <xdr:to>
      <xdr:col>5</xdr:col>
      <xdr:colOff>1200150</xdr:colOff>
      <xdr:row>6</xdr:row>
      <xdr:rowOff>238125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D89177AE-BEF4-49E7-BE44-5A06A6E88499}"/>
            </a:ext>
          </a:extLst>
        </xdr:cNvPr>
        <xdr:cNvSpPr txBox="1"/>
      </xdr:nvSpPr>
      <xdr:spPr>
        <a:xfrm>
          <a:off x="4076700" y="990600"/>
          <a:ext cx="2933700" cy="9048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/>
            <a:t>De</a:t>
          </a:r>
          <a:r>
            <a:rPr lang="pt-BR" sz="1400" baseline="0"/>
            <a:t> acordo com a classificação PROBABILIDADE X IMPACTO, o risco correspondente é colocado na matriz</a:t>
          </a:r>
          <a:endParaRPr lang="pt-BR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65273-A9EB-4E23-8109-C28214C0B2F3}">
  <dimension ref="A4:GJ36"/>
  <sheetViews>
    <sheetView tabSelected="1" topLeftCell="A4" workbookViewId="0">
      <selection activeCell="D8" sqref="D8"/>
    </sheetView>
  </sheetViews>
  <sheetFormatPr defaultRowHeight="15" x14ac:dyDescent="0.25"/>
  <cols>
    <col min="1" max="1" width="22.140625" customWidth="1"/>
    <col min="2" max="2" width="17.7109375" customWidth="1"/>
    <col min="3" max="3" width="16.42578125" customWidth="1"/>
    <col min="4" max="4" width="14.7109375" customWidth="1"/>
    <col min="5" max="5" width="16.140625" customWidth="1"/>
    <col min="6" max="6" width="18" customWidth="1"/>
    <col min="8" max="12" width="33.7109375" customWidth="1"/>
    <col min="19" max="26" width="9.140625" hidden="1" customWidth="1"/>
    <col min="27" max="27" width="24" hidden="1" customWidth="1"/>
    <col min="28" max="142" width="9.140625" hidden="1" customWidth="1"/>
    <col min="143" max="154" width="9.140625" customWidth="1"/>
  </cols>
  <sheetData>
    <row r="4" spans="1:192" ht="28.5" customHeight="1" x14ac:dyDescent="0.25">
      <c r="H4" s="35" t="s">
        <v>1</v>
      </c>
      <c r="I4" s="36"/>
      <c r="J4" s="36"/>
      <c r="K4" s="36"/>
      <c r="L4" s="36"/>
      <c r="GF4" s="1"/>
      <c r="GG4" s="1"/>
      <c r="GH4" s="1"/>
      <c r="GI4" s="1"/>
      <c r="GJ4" s="1"/>
    </row>
    <row r="5" spans="1:192" ht="28.5" customHeight="1" x14ac:dyDescent="0.25">
      <c r="A5" s="41" t="s">
        <v>38</v>
      </c>
      <c r="B5" s="41" t="s">
        <v>0</v>
      </c>
      <c r="C5" s="41" t="s">
        <v>1</v>
      </c>
      <c r="G5" s="37" t="s">
        <v>0</v>
      </c>
      <c r="H5" s="2" t="s">
        <v>7</v>
      </c>
      <c r="I5" s="3" t="s">
        <v>6</v>
      </c>
      <c r="J5" s="4" t="s">
        <v>5</v>
      </c>
      <c r="K5" s="5" t="s">
        <v>4</v>
      </c>
      <c r="L5" s="6" t="s">
        <v>3</v>
      </c>
      <c r="GF5" s="1"/>
      <c r="GG5" s="1"/>
      <c r="GH5" s="1"/>
      <c r="GI5" s="1"/>
      <c r="GJ5" s="1"/>
    </row>
    <row r="6" spans="1:192" ht="28.5" customHeight="1" x14ac:dyDescent="0.25">
      <c r="A6" s="38" t="s">
        <v>3</v>
      </c>
      <c r="B6" s="39" t="s">
        <v>2</v>
      </c>
      <c r="C6" s="39" t="s">
        <v>2</v>
      </c>
      <c r="G6" s="37"/>
      <c r="H6" s="7"/>
      <c r="I6" s="8" t="s">
        <v>28</v>
      </c>
      <c r="J6" s="9"/>
      <c r="K6" s="10"/>
      <c r="L6" s="11"/>
      <c r="S6" s="12" t="str">
        <f>IF(AND($B6="Muito Alto",$C6="Muito Alto"),"1MuMu","")</f>
        <v>1MuMu</v>
      </c>
      <c r="T6" s="12" t="str">
        <f t="shared" ref="T6:T30" si="0">IFERROR(VLOOKUP(S6,$A$6:$A$10,5,0),"")</f>
        <v/>
      </c>
      <c r="U6" s="12" t="str">
        <f>IFERROR(INDEX($S$6:$S$10,_xlfn.AGGREGATE(15,6,ROW($S$6:$S$10)/($S$6:$S$10&lt;&gt;""),ROW(#REF!))-5),"")</f>
        <v/>
      </c>
      <c r="V6" s="12" t="str">
        <f>IF(U6="","",VLOOKUP(U6,S$6:T$30,2,0))</f>
        <v/>
      </c>
      <c r="X6" s="12" t="str">
        <f>IF(AND($B6="Muito Alto",$C6="Alto"),"1MuAl","")</f>
        <v/>
      </c>
      <c r="Y6" s="12" t="str">
        <f t="shared" ref="Y6:Y30" si="1">IFERROR(VLOOKUP(X6,$A$6:$A$30,5,0),"")</f>
        <v/>
      </c>
      <c r="Z6" s="12" t="str">
        <f>IFERROR(INDEX($X$6:$X$30,_xlfn.AGGREGATE(15,6,ROW($X$6:$X$30)/($X$6:$X$30&lt;&gt;""),ROW(#REF!))-5),"")</f>
        <v/>
      </c>
      <c r="AA6" s="12" t="str">
        <f>IF(Z6="","",VLOOKUP(Z6,X$6:Y$30,2,0))</f>
        <v/>
      </c>
      <c r="AC6" s="12" t="str">
        <f>IF(AND($B6="Muito Alto",$C6="Moderado"),"1MuMo","")</f>
        <v/>
      </c>
      <c r="AD6" s="12" t="str">
        <f t="shared" ref="AD6:AD30" si="2">IFERROR(VLOOKUP(AC6,$A$6:$A$30,5,0),"")</f>
        <v/>
      </c>
      <c r="AE6" s="12" t="str">
        <f>IFERROR(INDEX($AC$6:$AC$30,_xlfn.AGGREGATE(15,6,ROW($AC$6:$AC$30)/($AC$6:$AC$30&lt;&gt;""),ROW(#REF!))-5),"")</f>
        <v/>
      </c>
      <c r="AF6" s="12" t="str">
        <f>IF(AE6="","",VLOOKUP(AE6,AC$6:AD$30,2,0))</f>
        <v/>
      </c>
      <c r="AH6" s="12" t="str">
        <f>IF(AND($B6="Muito Alto",$C6="Baixo"),"1MuBa","")</f>
        <v/>
      </c>
      <c r="AI6" s="12" t="str">
        <f t="shared" ref="AI6:AI30" si="3">IFERROR(VLOOKUP(AH6,$A$6:$A$30,5,0),"")</f>
        <v/>
      </c>
      <c r="AJ6" s="12" t="str">
        <f>IFERROR(INDEX($AH$6:$AH$30,_xlfn.AGGREGATE(15,6,ROW($AH$6:$AH$30)/($AH$6:$AH$30&lt;&gt;""),ROW(#REF!))-5),"")</f>
        <v/>
      </c>
      <c r="AK6" s="12" t="str">
        <f>IF(AJ6="","",VLOOKUP(AJ6,AH$6:AI$30,2,0))</f>
        <v/>
      </c>
      <c r="AM6" s="12" t="str">
        <f>IF(AND($B6="Muito Alto",$C6="Desprezível"),"1MuDe","")</f>
        <v/>
      </c>
      <c r="AN6" s="12" t="str">
        <f t="shared" ref="AN6:AN30" si="4">IFERROR(VLOOKUP(AM6,$A$6:$A$30,5,0),"")</f>
        <v/>
      </c>
      <c r="AO6" s="12" t="str">
        <f>IFERROR(INDEX($AM$6:$AM$30,_xlfn.AGGREGATE(15,6,ROW($AM$6:$AM$30)/($AM$6:$AM$30&lt;&gt;""),ROW(#REF!))-5),"")</f>
        <v/>
      </c>
      <c r="AP6" s="12" t="str">
        <f>IF(AO6="","",VLOOKUP(AO6,AM$6:AN$30,2,0))</f>
        <v/>
      </c>
      <c r="AR6" s="13" t="str">
        <f>IF(AND($B6="Alto",$C6="Muito Alto"),"1AlMu","")</f>
        <v/>
      </c>
      <c r="AS6" s="13" t="str">
        <f t="shared" ref="AS6:AS30" si="5">IFERROR(VLOOKUP(AR6,$A$6:$A$10,5,0),"")</f>
        <v/>
      </c>
      <c r="AT6" s="13" t="str">
        <f>IFERROR(INDEX($AR$6:$AR$10,_xlfn.AGGREGATE(15,6,ROW($AR$6:$AR$10)/($AR$6:$AR$10&lt;&gt;""),ROW(#REF!))-5),"")</f>
        <v/>
      </c>
      <c r="AU6" s="13" t="str">
        <f>IF(AT6="","",VLOOKUP(AT6,AR$6:AS$30,2,0))</f>
        <v/>
      </c>
      <c r="AW6" s="13" t="str">
        <f>IF(AND($B6="Alto",$C6="Alto"),"1AlAl","")</f>
        <v/>
      </c>
      <c r="AX6" s="13" t="str">
        <f t="shared" ref="AX6:AX30" si="6">IFERROR(VLOOKUP(AW6,$A$6:$A$30,5,0),"")</f>
        <v/>
      </c>
      <c r="AY6" s="13" t="str">
        <f>IFERROR(INDEX($AW$6:$AW$30,_xlfn.AGGREGATE(15,6,ROW($AW$6:$AW$30)/($AW$6:$AW$30&lt;&gt;""),ROW(#REF!))-5),"")</f>
        <v/>
      </c>
      <c r="AZ6" s="13" t="str">
        <f>IF(AY6="","",VLOOKUP(AY6,AW$6:AX$30,2,0))</f>
        <v/>
      </c>
      <c r="BB6" s="13" t="str">
        <f>IF(AND($B6="Alto",$C6="Moderado"),"1AlMo","")</f>
        <v/>
      </c>
      <c r="BC6" s="13" t="str">
        <f t="shared" ref="BC6:BC30" si="7">IFERROR(VLOOKUP(BB6,$A$6:$A$30,5,0),"")</f>
        <v/>
      </c>
      <c r="BD6" s="13" t="str">
        <f>IFERROR(INDEX($BB$6:$BB$30,_xlfn.AGGREGATE(15,6,ROW($BB$6:$BB$30)/($BB$6:$BB$30&lt;&gt;""),ROW(#REF!))-5),"")</f>
        <v/>
      </c>
      <c r="BE6" s="13" t="str">
        <f>IF(BD6="","",VLOOKUP(BD6,BB$6:BC$30,2,0))</f>
        <v/>
      </c>
      <c r="BG6" s="13" t="str">
        <f>IF(AND($B6="Alto",$C6="Baixo"),"1AlBa","")</f>
        <v/>
      </c>
      <c r="BH6" s="13" t="str">
        <f t="shared" ref="BH6:BH30" si="8">IFERROR(VLOOKUP(BG6,$A$6:$A$30,5,0),"")</f>
        <v/>
      </c>
      <c r="BI6" s="13" t="str">
        <f>IFERROR(INDEX($BG$6:$BG$30,_xlfn.AGGREGATE(15,6,ROW($BG$6:$BG$30)/($BG$6:$BG$30&lt;&gt;""),ROW(#REF!))-5),"")</f>
        <v/>
      </c>
      <c r="BJ6" s="13" t="str">
        <f>IF(BI6="","",VLOOKUP(BI6,BG$6:BH$30,2,0))</f>
        <v/>
      </c>
      <c r="BL6" s="13" t="str">
        <f>IF(AND($B6="Alto",$C6="Desprezível"),"1AlDe","")</f>
        <v/>
      </c>
      <c r="BM6" s="13" t="str">
        <f t="shared" ref="BM6:BM30" si="9">IFERROR(VLOOKUP(BL6,$A$6:$A$30,5,0),"")</f>
        <v/>
      </c>
      <c r="BN6" s="13" t="str">
        <f>IFERROR(INDEX($BL$6:$BL$30,_xlfn.AGGREGATE(15,6,ROW($BL$6:$BL$30)/($BL$6:$BL$30&lt;&gt;""),ROW(#REF!))-5),"")</f>
        <v/>
      </c>
      <c r="BO6" s="13" t="str">
        <f>IF(BN6="","",VLOOKUP(BN6,BL$6:BM$30,2,0))</f>
        <v/>
      </c>
      <c r="BQ6" s="14" t="str">
        <f>IF(AND($B6="Moderado",$C6="Muito Alto"),"1MoMu","")</f>
        <v/>
      </c>
      <c r="BR6" s="14" t="str">
        <f t="shared" ref="BR6:BR30" si="10">IFERROR(VLOOKUP(BQ6,$A$6:$A$10,5,0),"")</f>
        <v/>
      </c>
      <c r="BS6" s="14" t="str">
        <f>IFERROR(INDEX($BQ$6:$BQ$10,_xlfn.AGGREGATE(15,6,ROW($BQ$6:$BQ$10)/($BQ$6:$BQ$10&lt;&gt;""),ROW(#REF!))-5),"")</f>
        <v/>
      </c>
      <c r="BT6" s="14" t="str">
        <f>IF(BS6="","",VLOOKUP(BS6,BQ$6:BR$30,2,0))</f>
        <v/>
      </c>
      <c r="BV6" s="14" t="str">
        <f>IF(AND($B6="Moderado",$C6="Alto"),"1MoAl","")</f>
        <v/>
      </c>
      <c r="BW6" s="14" t="str">
        <f t="shared" ref="BW6:BW30" si="11">IFERROR(VLOOKUP(BV6,$A$6:$A$30,5,0),"")</f>
        <v/>
      </c>
      <c r="BX6" s="14" t="str">
        <f>IFERROR(INDEX($BV$6:$BV$30,_xlfn.AGGREGATE(15,6,ROW($BV$6:$BV$30)/($BV$6:$BV$30&lt;&gt;""),ROW(#REF!))-5),"")</f>
        <v/>
      </c>
      <c r="BY6" s="14" t="str">
        <f>IF(BX6="","",VLOOKUP(BX6,BV$6:BW$30,2,0))</f>
        <v/>
      </c>
      <c r="CA6" s="14" t="str">
        <f>IF(AND($B6="Moderado",$C6="Moderado"),"1MoMo","")</f>
        <v/>
      </c>
      <c r="CB6" s="14" t="str">
        <f t="shared" ref="CB6:CB30" si="12">IFERROR(VLOOKUP(CA6,$A$6:$A$30,5,0),"")</f>
        <v/>
      </c>
      <c r="CC6" s="14" t="str">
        <f>IFERROR(INDEX($CA$6:$CA$30,_xlfn.AGGREGATE(15,6,ROW($CA$6:$CA$30)/($CA$6:$CA$30&lt;&gt;""),ROW(#REF!))-5),"")</f>
        <v/>
      </c>
      <c r="CD6" s="14" t="str">
        <f>IF(CC6="","",VLOOKUP(CC6,CA$6:CB$30,2,0))</f>
        <v/>
      </c>
      <c r="CF6" s="14" t="str">
        <f>IF(AND($B6="Moderado",$C6="Baixo"),"1MoBa","")</f>
        <v/>
      </c>
      <c r="CG6" s="14" t="str">
        <f t="shared" ref="CG6:CG30" si="13">IFERROR(VLOOKUP(CF6,$A$6:$A$30,5,0),"")</f>
        <v/>
      </c>
      <c r="CH6" s="14" t="str">
        <f>IFERROR(INDEX($CF$6:$CF$30,_xlfn.AGGREGATE(15,6,ROW($CF$6:$CF$30)/($CF$6:$CF$30&lt;&gt;""),ROW(#REF!))-5),"")</f>
        <v/>
      </c>
      <c r="CI6" s="14" t="str">
        <f>IF(CH6="","",VLOOKUP(CH6,CF$6:CG$30,2,0))</f>
        <v/>
      </c>
      <c r="CK6" s="14" t="str">
        <f>IF(AND($B6="Moderado",$C6="Desprezível"),"1MoDe","")</f>
        <v/>
      </c>
      <c r="CL6" s="14" t="str">
        <f t="shared" ref="CL6:CL30" si="14">IFERROR(VLOOKUP(CK6,$A$6:$A$30,5,0),"")</f>
        <v/>
      </c>
      <c r="CM6" s="14" t="str">
        <f>IFERROR(INDEX($CK$6:$CK$30,_xlfn.AGGREGATE(15,6,ROW($CK$6:$CK$30)/($CK$6:$CK$30&lt;&gt;""),ROW(#REF!))-5),"")</f>
        <v/>
      </c>
      <c r="CN6" s="14" t="str">
        <f>IF(CM6="","",VLOOKUP(CM6,CK$6:CL$30,2,0))</f>
        <v/>
      </c>
      <c r="CP6" s="15" t="str">
        <f>IF(AND($B6="Baixo",$C6="Muito Alto"),"1BaMu","")</f>
        <v/>
      </c>
      <c r="CQ6" s="15" t="str">
        <f t="shared" ref="CQ6:CQ30" si="15">IFERROR(VLOOKUP(CP6,$A$6:$A$30,5,0),"")</f>
        <v/>
      </c>
      <c r="CR6" s="15" t="str">
        <f>IFERROR(INDEX($CP$6:$CP$30,_xlfn.AGGREGATE(15,6,ROW($CP$6:$CP$30)/($CP$6:$CP$30&lt;&gt;""),ROW(#REF!))-5),"")</f>
        <v/>
      </c>
      <c r="CS6" s="15" t="str">
        <f>IF(CR6="","",VLOOKUP(CR6,CP$6:CQ$30,2,0))</f>
        <v/>
      </c>
      <c r="CU6" s="15" t="str">
        <f>IF(AND($B6="Baixo",$C6="Alto"),"1BaAl","")</f>
        <v/>
      </c>
      <c r="CV6" s="15" t="str">
        <f t="shared" ref="CV6:CV30" si="16">IFERROR(VLOOKUP(CU6,$A$6:$A$30,5,0),"")</f>
        <v/>
      </c>
      <c r="CW6" s="15" t="str">
        <f>IFERROR(INDEX($CU$6:$CU$30,_xlfn.AGGREGATE(15,6,ROW($CU$6:$CU$30)/($CU$6:$CU$30&lt;&gt;""),ROW(#REF!))-5),"")</f>
        <v/>
      </c>
      <c r="CX6" s="15" t="str">
        <f>IF(CW6="","",VLOOKUP(CW6,CU$6:CV$30,2,0))</f>
        <v/>
      </c>
      <c r="CZ6" s="15" t="str">
        <f>IF(AND($B6="Baixo",$C6="Moderado"),"1BaMo","")</f>
        <v/>
      </c>
      <c r="DA6" s="15" t="str">
        <f t="shared" ref="DA6:DA30" si="17">IFERROR(VLOOKUP(CZ6,$A$6:$A$30,5,0),"")</f>
        <v/>
      </c>
      <c r="DB6" s="15" t="str">
        <f>IFERROR(INDEX($CZ$6:$CZ$30,_xlfn.AGGREGATE(15,6,ROW($CZ$6:$CZ$30)/($CZ$6:$CZ$30&lt;&gt;""),ROW(#REF!))-5),"")</f>
        <v/>
      </c>
      <c r="DC6" s="15" t="str">
        <f>IF(DB6="","",VLOOKUP(DB6,CZ$6:DA$30,2,0))</f>
        <v/>
      </c>
      <c r="DE6" s="15" t="str">
        <f>IF(AND($B6="Baixo",$C6="Baixo"),"1BaBa","")</f>
        <v/>
      </c>
      <c r="DF6" s="15" t="str">
        <f t="shared" ref="DF6:DF30" si="18">IFERROR(VLOOKUP(DE6,$A$6:$A$30,5,0),"")</f>
        <v/>
      </c>
      <c r="DG6" s="15" t="str">
        <f>IFERROR(INDEX($DE$6:$DE$30,_xlfn.AGGREGATE(15,6,ROW($DE$6:$DE$30)/($DE$6:$DE$30&lt;&gt;""),ROW(#REF!))-5),"")</f>
        <v/>
      </c>
      <c r="DH6" s="15" t="str">
        <f>IF(DG6="","",VLOOKUP(DG6,DE$6:DF$30,2,0))</f>
        <v/>
      </c>
      <c r="DJ6" s="15" t="str">
        <f>IF(AND($B6="Baixo",$C6="Desprezível"),"1BaDe","")</f>
        <v/>
      </c>
      <c r="DK6" s="15" t="str">
        <f t="shared" ref="DK6:DK30" si="19">IFERROR(VLOOKUP(DJ6,$A$6:$A$30,5,0),"")</f>
        <v/>
      </c>
      <c r="DL6" s="15" t="str">
        <f>IFERROR(INDEX($DJ$6:$DJ$30,_xlfn.AGGREGATE(15,6,ROW($DJ$6:$DJ$30)/($DJ$6:$DJ$30&lt;&gt;""),ROW(#REF!))-5),"")</f>
        <v/>
      </c>
      <c r="DM6" s="15" t="str">
        <f>IF(DL6="","",VLOOKUP(DL6,DJ$6:DK$30,2,0))</f>
        <v/>
      </c>
      <c r="DO6" s="16" t="str">
        <f>IF(AND($B6="Desprezível",$C6="Muito Alto"),"1DeMu","")</f>
        <v/>
      </c>
      <c r="DP6" s="16" t="str">
        <f t="shared" ref="DP6:DP30" si="20">IFERROR(VLOOKUP(DO6,$A$6:$A$10,5,0),"")</f>
        <v/>
      </c>
      <c r="DQ6" s="16" t="str">
        <f>IFERROR(INDEX($DO$6:$DO$10,_xlfn.AGGREGATE(15,6,ROW($DO$6:$DO$10)/($DO$6:$DO$10&lt;&gt;""),ROW(#REF!))-5),"")</f>
        <v/>
      </c>
      <c r="DR6" s="16" t="str">
        <f>IF(DQ6="","",VLOOKUP(DQ6,DO6:DP30,2,0))</f>
        <v/>
      </c>
      <c r="DT6" s="16" t="str">
        <f>IF(AND($B6="Desprezível",$C6="Alto"),"1DeAl","")</f>
        <v/>
      </c>
      <c r="DU6" s="16" t="str">
        <f t="shared" ref="DU6:DU30" si="21">IFERROR(VLOOKUP(DT6,$A$6:$A$30,5,0),"")</f>
        <v/>
      </c>
      <c r="DV6" s="16" t="str">
        <f>IFERROR(INDEX($DT$6:$DT$30,_xlfn.AGGREGATE(15,6,ROW($DT$6:$DT$30)/($DT$6:$DT$30&lt;&gt;""),ROW(#REF!))-5),"")</f>
        <v/>
      </c>
      <c r="DW6" s="16" t="str">
        <f>IF(DV6="","",VLOOKUP(DV6,DT6:DU30,2,0))</f>
        <v/>
      </c>
      <c r="DY6" s="16" t="str">
        <f>IF(AND($B6="Desprezível",$C6="Moderado"),"1DeMo","")</f>
        <v/>
      </c>
      <c r="DZ6" s="16" t="str">
        <f t="shared" ref="DZ6:DZ30" si="22">IFERROR(VLOOKUP(DY6,$A$6:$A$30,5,0),"")</f>
        <v/>
      </c>
      <c r="EA6" s="16" t="str">
        <f>IFERROR(INDEX($DY$6:$DY$30,_xlfn.AGGREGATE(15,6,ROW($DY$6:$DY$30)/($DY$6:$DY$30&lt;&gt;""),ROW(#REF!))-5),"")</f>
        <v/>
      </c>
      <c r="EB6" s="16" t="str">
        <f>IF(EA6="","",VLOOKUP(EA6,DY6:DZ30,2,0))</f>
        <v/>
      </c>
      <c r="ED6" s="16" t="str">
        <f>IF(AND($B6="Desprezível",$C6="Baixo"),"1DeBa","")</f>
        <v/>
      </c>
      <c r="EE6" s="16" t="str">
        <f t="shared" ref="EE6:EE30" si="23">IFERROR(VLOOKUP(ED6,$A$6:$A$30,5,0),"")</f>
        <v/>
      </c>
      <c r="EF6" s="16" t="str">
        <f>IFERROR(INDEX($ED$6:$ED$30,_xlfn.AGGREGATE(15,6,ROW($ED$6:$ED$30)/($ED$6:$ED$30&lt;&gt;""),ROW(#REF!))-5),"")</f>
        <v/>
      </c>
      <c r="EG6" s="16" t="str">
        <f>IF(EF6="","",VLOOKUP(EF6,ED6:EE30,2,0))</f>
        <v/>
      </c>
      <c r="EI6" s="16" t="str">
        <f>IF(AND($B6="Desprezível",$C6="Desprezível"),"1DeDe","")</f>
        <v/>
      </c>
      <c r="EJ6" s="16" t="str">
        <f t="shared" ref="EJ6:EJ30" si="24">IFERROR(VLOOKUP(EI6,$A$6:$A$30,5,0),"")</f>
        <v/>
      </c>
      <c r="EK6" s="16" t="str">
        <f>IFERROR(INDEX($EI$6:$EI$30,_xlfn.AGGREGATE(15,6,ROW($EI$6:$EI$30)/($EI$6:$EI$30&lt;&gt;""),ROW(#REF!))-5),"")</f>
        <v/>
      </c>
      <c r="EL6" s="16" t="str">
        <f>IF(EK6="","",VLOOKUP(EK6,EI6:EJ30,2,0))</f>
        <v/>
      </c>
      <c r="GF6" s="1"/>
      <c r="GG6" s="1"/>
      <c r="GH6" s="1"/>
      <c r="GI6" s="1"/>
      <c r="GJ6" s="1"/>
    </row>
    <row r="7" spans="1:192" ht="28.5" customHeight="1" x14ac:dyDescent="0.25">
      <c r="A7" s="38" t="s">
        <v>4</v>
      </c>
      <c r="B7" s="39" t="s">
        <v>2</v>
      </c>
      <c r="C7" s="40" t="s">
        <v>29</v>
      </c>
      <c r="G7" s="37"/>
      <c r="H7" s="7"/>
      <c r="I7" s="8" t="s">
        <v>36</v>
      </c>
      <c r="J7" s="9"/>
      <c r="K7" s="10"/>
      <c r="L7" s="11"/>
      <c r="S7" s="12" t="str">
        <f>IF(AND($B7="Muito Alto",$C7="Muito Alto"),"2MuMu","")</f>
        <v/>
      </c>
      <c r="T7" s="12" t="str">
        <f t="shared" si="0"/>
        <v/>
      </c>
      <c r="U7" s="12" t="str">
        <f>IFERROR(INDEX($S$6:$S$10,_xlfn.AGGREGATE(15,6,ROW($S$6:$S$10)/($S$6:$S$10&lt;&gt;""),ROW(#REF!))-5),"")</f>
        <v/>
      </c>
      <c r="V7" s="12" t="str">
        <f t="shared" ref="V7:V30" si="25">IF(U7="","",VLOOKUP(U7,S$6:T$30,2,0))</f>
        <v/>
      </c>
      <c r="X7" s="12" t="str">
        <f>IF(AND($B7="Muito Alto",$C7="Alto"),"2MuAl","")</f>
        <v>2MuAl</v>
      </c>
      <c r="Y7" s="12" t="str">
        <f t="shared" si="1"/>
        <v/>
      </c>
      <c r="Z7" s="12" t="str">
        <f>IFERROR(INDEX($X$6:$X$30,_xlfn.AGGREGATE(15,6,ROW($X$6:$X$30)/($X$6:$X$30&lt;&gt;""),ROW(#REF!))-5),"")</f>
        <v/>
      </c>
      <c r="AA7" s="12" t="str">
        <f t="shared" ref="AA7:AA30" si="26">IF(Z7="","",VLOOKUP(Z7,X$6:Y$30,2,0))</f>
        <v/>
      </c>
      <c r="AC7" s="12" t="str">
        <f>IF(AND($B7="Muito Alto",$C7="Moderado"),"2MuMo","")</f>
        <v/>
      </c>
      <c r="AD7" s="12" t="str">
        <f t="shared" si="2"/>
        <v/>
      </c>
      <c r="AE7" s="12" t="str">
        <f>IFERROR(INDEX($AC$6:$AC$30,_xlfn.AGGREGATE(15,6,ROW($AC$6:$AC$30)/($AC$6:$AC$30&lt;&gt;""),ROW(#REF!))-5),"")</f>
        <v/>
      </c>
      <c r="AF7" s="12" t="str">
        <f t="shared" ref="AF7:AF30" si="27">IF(AE7="","",VLOOKUP(AE7,AC$6:AD$30,2,0))</f>
        <v/>
      </c>
      <c r="AH7" s="17" t="str">
        <f>IF(AND($B7="Muito Alto",$C7="Baixo"),"2MuBa","")</f>
        <v/>
      </c>
      <c r="AI7" s="12" t="str">
        <f t="shared" si="3"/>
        <v/>
      </c>
      <c r="AJ7" s="12" t="str">
        <f>IFERROR(INDEX($AH$6:$AH$30,_xlfn.AGGREGATE(15,6,ROW($AH$6:$AH$30)/($AH$6:$AH$30&lt;&gt;""),ROW(#REF!))-5),"")</f>
        <v/>
      </c>
      <c r="AK7" s="12" t="str">
        <f t="shared" ref="AK7:AK30" si="28">IF(AJ7="","",VLOOKUP(AJ7,AH$6:AI$30,2,0))</f>
        <v/>
      </c>
      <c r="AM7" s="12" t="str">
        <f>IF(AND($B7="Muito Alto",$C7="Desprezível"),"2MuDe","")</f>
        <v/>
      </c>
      <c r="AN7" s="12" t="str">
        <f t="shared" si="4"/>
        <v/>
      </c>
      <c r="AO7" s="12" t="str">
        <f>IFERROR(INDEX($AM$6:$AM$30,_xlfn.AGGREGATE(15,6,ROW($AM$6:$AM$30)/($AM$6:$AM$30&lt;&gt;""),ROW(#REF!))-5),"")</f>
        <v/>
      </c>
      <c r="AP7" s="12" t="str">
        <f t="shared" ref="AP7:AP30" si="29">IF(AO7="","",VLOOKUP(AO7,AM$6:AN$30,2,0))</f>
        <v/>
      </c>
      <c r="AR7" s="13" t="str">
        <f>IF(AND($B7="Alto",$C7="Muito Alto"),"2AlMu","")</f>
        <v/>
      </c>
      <c r="AS7" s="13" t="str">
        <f t="shared" si="5"/>
        <v/>
      </c>
      <c r="AT7" s="13" t="str">
        <f>IFERROR(INDEX($AR$6:$AR$10,_xlfn.AGGREGATE(15,6,ROW($AR$6:$AR$10)/($AR$6:$AR$10&lt;&gt;""),ROW(#REF!))-5),"")</f>
        <v/>
      </c>
      <c r="AU7" s="13" t="str">
        <f t="shared" ref="AU7:AU30" si="30">IF(AT7="","",VLOOKUP(AT7,AR$6:AS$30,2,0))</f>
        <v/>
      </c>
      <c r="AW7" s="13" t="str">
        <f>IF(AND($B7="Alto",$C7="Alto"),"2AlAl","")</f>
        <v/>
      </c>
      <c r="AX7" s="13" t="str">
        <f t="shared" si="6"/>
        <v/>
      </c>
      <c r="AY7" s="13" t="str">
        <f>IFERROR(INDEX($AW$6:$AW$30,_xlfn.AGGREGATE(15,6,ROW($AW$6:$AW$30)/($AW$6:$AW$30&lt;&gt;""),ROW(#REF!))-5),"")</f>
        <v/>
      </c>
      <c r="AZ7" s="13" t="str">
        <f t="shared" ref="AZ7:AZ30" si="31">IF(AY7="","",VLOOKUP(AY7,AW$6:AX$30,2,0))</f>
        <v/>
      </c>
      <c r="BB7" s="13" t="str">
        <f>IF(AND($B7="Alto",$C7="Moderado"),"2AlMo","")</f>
        <v/>
      </c>
      <c r="BC7" s="13" t="str">
        <f t="shared" si="7"/>
        <v/>
      </c>
      <c r="BD7" s="13" t="str">
        <f>IFERROR(INDEX($BB$6:$BB$30,_xlfn.AGGREGATE(15,6,ROW($BB$6:$BB$30)/($BB$6:$BB$30&lt;&gt;""),ROW(#REF!))-5),"")</f>
        <v/>
      </c>
      <c r="BE7" s="13" t="str">
        <f t="shared" ref="BE7:BE30" si="32">IF(BD7="","",VLOOKUP(BD7,BB$6:BC$30,2,0))</f>
        <v/>
      </c>
      <c r="BG7" s="13" t="str">
        <f>IF(AND($B7="Alto",$C7="Baixo"),"2AlBa","")</f>
        <v/>
      </c>
      <c r="BH7" s="13" t="str">
        <f t="shared" si="8"/>
        <v/>
      </c>
      <c r="BI7" s="13" t="str">
        <f>IFERROR(INDEX($BG$6:$BG$30,_xlfn.AGGREGATE(15,6,ROW($BG$6:$BG$30)/($BG$6:$BG$30&lt;&gt;""),ROW(#REF!))-5),"")</f>
        <v/>
      </c>
      <c r="BJ7" s="13" t="str">
        <f t="shared" ref="BJ7:BJ30" si="33">IF(BI7="","",VLOOKUP(BI7,BG$6:BH$30,2,0))</f>
        <v/>
      </c>
      <c r="BL7" s="13" t="str">
        <f>IF(AND($B7="Alto",$C7="Desprezível"),"2AlDe","")</f>
        <v/>
      </c>
      <c r="BM7" s="13" t="str">
        <f t="shared" si="9"/>
        <v/>
      </c>
      <c r="BN7" s="13" t="str">
        <f>IFERROR(INDEX($BL$6:$BL$30,_xlfn.AGGREGATE(15,6,ROW($BL$6:$BL$30)/($BL$6:$BL$30&lt;&gt;""),ROW(#REF!))-5),"")</f>
        <v/>
      </c>
      <c r="BO7" s="13" t="str">
        <f t="shared" ref="BO7:BO30" si="34">IF(BN7="","",VLOOKUP(BN7,BL$6:BM$30,2,0))</f>
        <v/>
      </c>
      <c r="BQ7" s="14" t="str">
        <f>IF(AND($B7="Moderado",$C7="Muito Alto"),"2MoMu","")</f>
        <v/>
      </c>
      <c r="BR7" s="14" t="str">
        <f t="shared" si="10"/>
        <v/>
      </c>
      <c r="BS7" s="14" t="str">
        <f>IFERROR(INDEX($BQ$6:$BQ$10,_xlfn.AGGREGATE(15,6,ROW($BQ$6:$BQ$10)/($BQ$6:$BQ$10&lt;&gt;""),ROW(#REF!))-5),"")</f>
        <v/>
      </c>
      <c r="BT7" s="14" t="str">
        <f t="shared" ref="BT7:BT30" si="35">IF(BS7="","",VLOOKUP(BS7,BQ$6:BR$30,2,0))</f>
        <v/>
      </c>
      <c r="BV7" s="14" t="str">
        <f>IF(AND($B7="Moderado",$C7="Alto"),"2MoAl","")</f>
        <v/>
      </c>
      <c r="BW7" s="14" t="str">
        <f t="shared" si="11"/>
        <v/>
      </c>
      <c r="BX7" s="14" t="str">
        <f>IFERROR(INDEX($BV$6:$BV$30,_xlfn.AGGREGATE(15,6,ROW($BV$6:$BV$30)/($BV$6:$BV$30&lt;&gt;""),ROW(#REF!))-5),"")</f>
        <v/>
      </c>
      <c r="BY7" s="14" t="str">
        <f t="shared" ref="BY7:BY30" si="36">IF(BX7="","",VLOOKUP(BX7,BV$6:BW$30,2,0))</f>
        <v/>
      </c>
      <c r="CA7" s="14" t="str">
        <f>IF(AND($B7="Moderado",$C7="Moderado"),"2MoMo","")</f>
        <v/>
      </c>
      <c r="CB7" s="14" t="str">
        <f t="shared" si="12"/>
        <v/>
      </c>
      <c r="CC7" s="14" t="str">
        <f>IFERROR(INDEX($CA$6:$CA$30,_xlfn.AGGREGATE(15,6,ROW($CA$6:$CA$30)/($CA$6:$CA$30&lt;&gt;""),ROW(#REF!))-5),"")</f>
        <v/>
      </c>
      <c r="CD7" s="14" t="str">
        <f t="shared" ref="CD7:CD30" si="37">IF(CC7="","",VLOOKUP(CC7,CA$6:CB$30,2,0))</f>
        <v/>
      </c>
      <c r="CF7" s="14" t="str">
        <f>IF(AND($B7="Moderado",$C7="Baixo"),"2MoBa","")</f>
        <v/>
      </c>
      <c r="CG7" s="14" t="str">
        <f t="shared" si="13"/>
        <v/>
      </c>
      <c r="CH7" s="14" t="str">
        <f>IFERROR(INDEX($CF$6:$CF$30,_xlfn.AGGREGATE(15,6,ROW($CF$6:$CF$30)/($CF$6:$CF$30&lt;&gt;""),ROW(#REF!))-5),"")</f>
        <v/>
      </c>
      <c r="CI7" s="14" t="str">
        <f t="shared" ref="CI7:CI30" si="38">IF(CH7="","",VLOOKUP(CH7,CF$6:CG$30,2,0))</f>
        <v/>
      </c>
      <c r="CK7" s="14" t="str">
        <f>IF(AND($B7="Moderado",$C7="Desprezível"),"2MoDe","")</f>
        <v/>
      </c>
      <c r="CL7" s="14" t="str">
        <f t="shared" si="14"/>
        <v/>
      </c>
      <c r="CM7" s="14" t="str">
        <f>IFERROR(INDEX($CK$6:$CK$30,_xlfn.AGGREGATE(15,6,ROW($CK$6:$CK$30)/($CK$6:$CK$30&lt;&gt;""),ROW(#REF!))-5),"")</f>
        <v/>
      </c>
      <c r="CN7" s="14" t="str">
        <f t="shared" ref="CN7:CN30" si="39">IF(CM7="","",VLOOKUP(CM7,CK$6:CL$30,2,0))</f>
        <v/>
      </c>
      <c r="CP7" s="15" t="str">
        <f>IF(AND($B7="Baixo",$C7="Muito Alto"),"2BaMu","")</f>
        <v/>
      </c>
      <c r="CQ7" s="15" t="str">
        <f t="shared" si="15"/>
        <v/>
      </c>
      <c r="CR7" s="15" t="str">
        <f>IFERROR(INDEX($CP$6:$CP$30,_xlfn.AGGREGATE(15,6,ROW($CP$6:$CP$30)/($CP$6:$CP$30&lt;&gt;""),ROW(#REF!))-5),"")</f>
        <v/>
      </c>
      <c r="CS7" s="15" t="str">
        <f t="shared" ref="CS7:CS30" si="40">IF(CR7="","",VLOOKUP(CR7,CP$6:CQ$30,2,0))</f>
        <v/>
      </c>
      <c r="CU7" s="15" t="str">
        <f>IF(AND($B7="Baixo",$C7="Alto"),"2BaAl","")</f>
        <v/>
      </c>
      <c r="CV7" s="15" t="str">
        <f t="shared" si="16"/>
        <v/>
      </c>
      <c r="CW7" s="15" t="str">
        <f>IFERROR(INDEX($CU$6:$CU$30,_xlfn.AGGREGATE(15,6,ROW($CU$6:$CU$30)/($CU$6:$CU$30&lt;&gt;""),ROW(#REF!))-5),"")</f>
        <v/>
      </c>
      <c r="CX7" s="15" t="str">
        <f t="shared" ref="CX7:CX30" si="41">IF(CW7="","",VLOOKUP(CW7,CU$6:CV$30,2,0))</f>
        <v/>
      </c>
      <c r="CZ7" s="15" t="str">
        <f>IF(AND($B7="Baixo",$C7="Moderado"),"2BaMo","")</f>
        <v/>
      </c>
      <c r="DA7" s="15" t="str">
        <f t="shared" si="17"/>
        <v/>
      </c>
      <c r="DB7" s="15" t="str">
        <f>IFERROR(INDEX($CZ$6:$CZ$30,_xlfn.AGGREGATE(15,6,ROW($CZ$6:$CZ$30)/($CZ$6:$CZ$30&lt;&gt;""),ROW(#REF!))-5),"")</f>
        <v/>
      </c>
      <c r="DC7" s="15" t="str">
        <f t="shared" ref="DC7:DC30" si="42">IF(DB7="","",VLOOKUP(DB7,CZ$6:DA$30,2,0))</f>
        <v/>
      </c>
      <c r="DE7" s="15" t="str">
        <f>IF(AND($B7="Baixo",$C7="Baixo"),"2BaBa","")</f>
        <v/>
      </c>
      <c r="DF7" s="15" t="str">
        <f t="shared" si="18"/>
        <v/>
      </c>
      <c r="DG7" s="15" t="str">
        <f>IFERROR(INDEX($DE$6:$DE$30,_xlfn.AGGREGATE(15,6,ROW($DE$6:$DE$30)/($DE$6:$DE$30&lt;&gt;""),ROW(#REF!))-5),"")</f>
        <v/>
      </c>
      <c r="DH7" s="15" t="str">
        <f t="shared" ref="DH7:DH30" si="43">IF(DG7="","",VLOOKUP(DG7,DE$6:DF$30,2,0))</f>
        <v/>
      </c>
      <c r="DJ7" s="15" t="str">
        <f>IF(AND($B7="Baixo",$C7="Desprezível"),"2BaDe","")</f>
        <v/>
      </c>
      <c r="DK7" s="15" t="str">
        <f t="shared" si="19"/>
        <v/>
      </c>
      <c r="DL7" s="15" t="str">
        <f>IFERROR(INDEX($DJ$6:$DJ$30,_xlfn.AGGREGATE(15,6,ROW($DJ$6:$DJ$30)/($DJ$6:$DJ$30&lt;&gt;""),ROW(#REF!))-5),"")</f>
        <v/>
      </c>
      <c r="DM7" s="15" t="str">
        <f t="shared" ref="DM7:DM30" si="44">IF(DL7="","",VLOOKUP(DL7,DJ$6:DK$30,2,0))</f>
        <v/>
      </c>
      <c r="DO7" s="16" t="str">
        <f>IF(AND($B7="Desprezível",$C7="Muito Alto"),"2DeMu","")</f>
        <v/>
      </c>
      <c r="DP7" s="16" t="str">
        <f t="shared" si="20"/>
        <v/>
      </c>
      <c r="DQ7" s="16" t="str">
        <f>IFERROR(INDEX($DO$6:$DO$10,_xlfn.AGGREGATE(15,6,ROW($DO$6:$DO$10)/($DO$6:$DO$10&lt;&gt;""),ROW(#REF!))-5),"")</f>
        <v/>
      </c>
      <c r="DR7" s="16" t="str">
        <f t="shared" ref="DR7:DR30" si="45">IF(DQ7="","",VLOOKUP(DQ7,DO7:DP31,2,0))</f>
        <v/>
      </c>
      <c r="DT7" s="16" t="str">
        <f>IF(AND($B7="Desprezível",$C7="Alto"),"2DeAl","")</f>
        <v/>
      </c>
      <c r="DU7" s="16" t="str">
        <f t="shared" si="21"/>
        <v/>
      </c>
      <c r="DV7" s="16" t="str">
        <f>IFERROR(INDEX($DT$6:$DT$30,_xlfn.AGGREGATE(15,6,ROW($DT$6:$DT$30)/($DT$6:$DT$30&lt;&gt;""),ROW(#REF!))-5),"")</f>
        <v/>
      </c>
      <c r="DW7" s="16" t="str">
        <f t="shared" ref="DW7:DW30" si="46">IF(DV7="","",VLOOKUP(DV7,DT7:DU31,2,0))</f>
        <v/>
      </c>
      <c r="DY7" s="16" t="str">
        <f>IF(AND($B7="Desprezível",$C7="Moderado"),"2DeMo","")</f>
        <v/>
      </c>
      <c r="DZ7" s="16" t="str">
        <f t="shared" si="22"/>
        <v/>
      </c>
      <c r="EA7" s="16" t="str">
        <f>IFERROR(INDEX($DY$6:$DY$30,_xlfn.AGGREGATE(15,6,ROW($DY$6:$DY$30)/($DY$6:$DY$30&lt;&gt;""),ROW(#REF!))-5),"")</f>
        <v/>
      </c>
      <c r="EB7" s="16" t="str">
        <f t="shared" ref="EB7:EB30" si="47">IF(EA7="","",VLOOKUP(EA7,DY7:DZ31,2,0))</f>
        <v/>
      </c>
      <c r="ED7" s="16" t="str">
        <f>IF(AND($B7="Desprezível",$C7="Baixo"),"2DeBa","")</f>
        <v/>
      </c>
      <c r="EE7" s="16" t="str">
        <f t="shared" si="23"/>
        <v/>
      </c>
      <c r="EF7" s="16" t="str">
        <f>IFERROR(INDEX($ED$6:$ED$30,_xlfn.AGGREGATE(15,6,ROW($ED$6:$ED$30)/($ED$6:$ED$30&lt;&gt;""),ROW(#REF!))-5),"")</f>
        <v/>
      </c>
      <c r="EG7" s="16" t="str">
        <f t="shared" ref="EG7:EG30" si="48">IF(EF7="","",VLOOKUP(EF7,ED7:EE31,2,0))</f>
        <v/>
      </c>
      <c r="EI7" s="16" t="str">
        <f>IF(AND($B7="Desprezível",$C7="Desprezível"),"2DeDe","")</f>
        <v/>
      </c>
      <c r="EJ7" s="16" t="str">
        <f t="shared" si="24"/>
        <v/>
      </c>
      <c r="EK7" s="16" t="str">
        <f>IFERROR(INDEX($EI$6:$EI$30,_xlfn.AGGREGATE(15,6,ROW($EI$6:$EI$30)/($EI$6:$EI$30&lt;&gt;""),ROW(#REF!))-5),"")</f>
        <v/>
      </c>
      <c r="EL7" s="16" t="str">
        <f t="shared" ref="EL7:EL30" si="49">IF(EK7="","",VLOOKUP(EK7,EI7:EJ31,2,0))</f>
        <v/>
      </c>
      <c r="GF7" s="1"/>
      <c r="GG7" s="1"/>
      <c r="GH7" s="1"/>
      <c r="GI7" s="1"/>
      <c r="GJ7" s="1"/>
    </row>
    <row r="8" spans="1:192" ht="28.5" customHeight="1" x14ac:dyDescent="0.25">
      <c r="A8" s="38" t="s">
        <v>5</v>
      </c>
      <c r="B8" s="40" t="s">
        <v>2</v>
      </c>
      <c r="C8" s="40" t="s">
        <v>30</v>
      </c>
      <c r="G8" s="37"/>
      <c r="H8" s="7"/>
      <c r="I8" s="8"/>
      <c r="J8" s="9"/>
      <c r="K8" s="10"/>
      <c r="L8" s="11"/>
      <c r="S8" s="12" t="str">
        <f>IF(AND($B8="Muito Alto",$C8="Muito Alto"),"3MuMu","")</f>
        <v/>
      </c>
      <c r="T8" s="12" t="str">
        <f t="shared" si="0"/>
        <v/>
      </c>
      <c r="U8" s="12" t="str">
        <f>IFERROR(INDEX($S$6:$S$10,_xlfn.AGGREGATE(15,6,ROW($S$6:$S$10)/($S$6:$S$10&lt;&gt;""),ROW(#REF!))-5),"")</f>
        <v/>
      </c>
      <c r="V8" s="12" t="str">
        <f t="shared" si="25"/>
        <v/>
      </c>
      <c r="X8" s="12" t="str">
        <f>IF(AND($B8="Muito Alto",$C8="Alto"),"3MuAl","")</f>
        <v/>
      </c>
      <c r="Y8" s="12" t="str">
        <f t="shared" si="1"/>
        <v/>
      </c>
      <c r="Z8" s="12" t="str">
        <f>IFERROR(INDEX($X$6:$X$30,_xlfn.AGGREGATE(15,6,ROW($X$6:$X$30)/($X$6:$X$30&lt;&gt;""),ROW(#REF!))-5),"")</f>
        <v/>
      </c>
      <c r="AA8" s="12" t="str">
        <f t="shared" si="26"/>
        <v/>
      </c>
      <c r="AC8" s="12" t="str">
        <f>IF(AND($B8="Muito Alto",$C8="Moderado"),"3MuMo","")</f>
        <v>3MuMo</v>
      </c>
      <c r="AD8" s="12" t="str">
        <f t="shared" si="2"/>
        <v/>
      </c>
      <c r="AE8" s="12" t="str">
        <f>IFERROR(INDEX($AC$6:$AC$30,_xlfn.AGGREGATE(15,6,ROW($AC$6:$AC$30)/($AC$6:$AC$30&lt;&gt;""),ROW(#REF!))-5),"")</f>
        <v/>
      </c>
      <c r="AF8" s="12" t="str">
        <f t="shared" si="27"/>
        <v/>
      </c>
      <c r="AH8" s="17" t="str">
        <f>IF(AND($B8="Muito Alto",$C8="Baixo"),"3MuBa","")</f>
        <v/>
      </c>
      <c r="AI8" s="12" t="str">
        <f t="shared" si="3"/>
        <v/>
      </c>
      <c r="AJ8" s="12" t="str">
        <f>IFERROR(INDEX($AH$6:$AH$30,_xlfn.AGGREGATE(15,6,ROW($AH$6:$AH$30)/($AH$6:$AH$30&lt;&gt;""),ROW(#REF!))-5),"")</f>
        <v/>
      </c>
      <c r="AK8" s="12" t="str">
        <f t="shared" si="28"/>
        <v/>
      </c>
      <c r="AM8" s="12" t="str">
        <f>IF(AND($B8="Muito Alto",$C8="Desprezível"),"3MuDe","")</f>
        <v/>
      </c>
      <c r="AN8" s="12" t="str">
        <f t="shared" si="4"/>
        <v/>
      </c>
      <c r="AO8" s="12" t="str">
        <f>IFERROR(INDEX($AM$6:$AM$30,_xlfn.AGGREGATE(15,6,ROW($AM$6:$AM$30)/($AM$6:$AM$30&lt;&gt;""),ROW(#REF!))-5),"")</f>
        <v/>
      </c>
      <c r="AP8" s="12" t="str">
        <f t="shared" si="29"/>
        <v/>
      </c>
      <c r="AR8" s="13" t="str">
        <f>IF(AND($B8="Alto",$C8="Muito Alto"),"3AlMu","")</f>
        <v/>
      </c>
      <c r="AS8" s="13" t="str">
        <f t="shared" si="5"/>
        <v/>
      </c>
      <c r="AT8" s="13" t="str">
        <f>IFERROR(INDEX($AR$6:$AR$10,_xlfn.AGGREGATE(15,6,ROW($AR$6:$AR$10)/($AR$6:$AR$10&lt;&gt;""),ROW(#REF!))-5),"")</f>
        <v/>
      </c>
      <c r="AU8" s="13" t="str">
        <f t="shared" si="30"/>
        <v/>
      </c>
      <c r="AW8" s="13" t="str">
        <f>IF(AND($B8="Alto",$C8="Alto"),"3AlAl","")</f>
        <v/>
      </c>
      <c r="AX8" s="13" t="str">
        <f t="shared" si="6"/>
        <v/>
      </c>
      <c r="AY8" s="13" t="str">
        <f>IFERROR(INDEX($AW$6:$AW$30,_xlfn.AGGREGATE(15,6,ROW($AW$6:$AW$30)/($AW$6:$AW$30&lt;&gt;""),ROW(#REF!))-5),"")</f>
        <v/>
      </c>
      <c r="AZ8" s="13" t="str">
        <f t="shared" si="31"/>
        <v/>
      </c>
      <c r="BB8" s="13" t="str">
        <f>IF(AND($B8="Alto",$C8="Moderado"),"3AlMo","")</f>
        <v/>
      </c>
      <c r="BC8" s="13" t="str">
        <f t="shared" si="7"/>
        <v/>
      </c>
      <c r="BD8" s="13" t="str">
        <f>IFERROR(INDEX($BB$6:$BB$30,_xlfn.AGGREGATE(15,6,ROW($BB$6:$BB$30)/($BB$6:$BB$30&lt;&gt;""),ROW(#REF!))-5),"")</f>
        <v/>
      </c>
      <c r="BE8" s="13" t="str">
        <f t="shared" si="32"/>
        <v/>
      </c>
      <c r="BG8" s="13" t="str">
        <f>IF(AND($B8="Alto",$C8="Baixo"),"3AlBa","")</f>
        <v/>
      </c>
      <c r="BH8" s="13" t="str">
        <f t="shared" si="8"/>
        <v/>
      </c>
      <c r="BI8" s="13" t="str">
        <f>IFERROR(INDEX($BG$6:$BG$30,_xlfn.AGGREGATE(15,6,ROW($BG$6:$BG$30)/($BG$6:$BG$30&lt;&gt;""),ROW(#REF!))-5),"")</f>
        <v/>
      </c>
      <c r="BJ8" s="13" t="str">
        <f t="shared" si="33"/>
        <v/>
      </c>
      <c r="BL8" s="13" t="str">
        <f>IF(AND($B8="Alto",$C8="Desprezível"),"3AlDe","")</f>
        <v/>
      </c>
      <c r="BM8" s="13" t="str">
        <f t="shared" si="9"/>
        <v/>
      </c>
      <c r="BN8" s="13" t="str">
        <f>IFERROR(INDEX($BL$6:$BL$30,_xlfn.AGGREGATE(15,6,ROW($BL$6:$BL$30)/($BL$6:$BL$30&lt;&gt;""),ROW(#REF!))-5),"")</f>
        <v/>
      </c>
      <c r="BO8" s="13" t="str">
        <f t="shared" si="34"/>
        <v/>
      </c>
      <c r="BQ8" s="14" t="str">
        <f>IF(AND($B8="Moderado",$C8="Muito Alto"),"3MoMu","")</f>
        <v/>
      </c>
      <c r="BR8" s="14" t="str">
        <f t="shared" si="10"/>
        <v/>
      </c>
      <c r="BS8" s="14" t="str">
        <f>IFERROR(INDEX($BQ$6:$BQ$10,_xlfn.AGGREGATE(15,6,ROW($BQ$6:$BQ$10)/($BQ$6:$BQ$10&lt;&gt;""),ROW(#REF!))-5),"")</f>
        <v/>
      </c>
      <c r="BT8" s="14" t="str">
        <f t="shared" si="35"/>
        <v/>
      </c>
      <c r="BV8" s="14" t="str">
        <f>IF(AND($B8="Moderado",$C8="Alto"),"3MoAl","")</f>
        <v/>
      </c>
      <c r="BW8" s="14" t="str">
        <f t="shared" si="11"/>
        <v/>
      </c>
      <c r="BX8" s="14" t="str">
        <f>IFERROR(INDEX($BV$6:$BV$30,_xlfn.AGGREGATE(15,6,ROW($BV$6:$BV$30)/($BV$6:$BV$30&lt;&gt;""),ROW(#REF!))-5),"")</f>
        <v/>
      </c>
      <c r="BY8" s="14" t="str">
        <f t="shared" si="36"/>
        <v/>
      </c>
      <c r="CA8" s="14" t="str">
        <f>IF(AND($B8="Moderado",$C8="Moderado"),"3MoMo","")</f>
        <v/>
      </c>
      <c r="CB8" s="14" t="str">
        <f t="shared" si="12"/>
        <v/>
      </c>
      <c r="CC8" s="14" t="str">
        <f>IFERROR(INDEX($CA$6:$CA$30,_xlfn.AGGREGATE(15,6,ROW($CA$6:$CA$30)/($CA$6:$CA$30&lt;&gt;""),ROW(#REF!))-5),"")</f>
        <v/>
      </c>
      <c r="CD8" s="14" t="str">
        <f t="shared" si="37"/>
        <v/>
      </c>
      <c r="CF8" s="14" t="str">
        <f>IF(AND($B8="Moderado",$C8="Baixo"),"3MoBa","")</f>
        <v/>
      </c>
      <c r="CG8" s="14" t="str">
        <f t="shared" si="13"/>
        <v/>
      </c>
      <c r="CH8" s="14" t="str">
        <f>IFERROR(INDEX($CF$6:$CF$30,_xlfn.AGGREGATE(15,6,ROW($CF$6:$CF$30)/($CF$6:$CF$30&lt;&gt;""),ROW(#REF!))-5),"")</f>
        <v/>
      </c>
      <c r="CI8" s="14" t="str">
        <f t="shared" si="38"/>
        <v/>
      </c>
      <c r="CK8" s="14" t="str">
        <f>IF(AND($B8="Moderado",$C8="Desprezível"),"3MoDe","")</f>
        <v/>
      </c>
      <c r="CL8" s="14" t="str">
        <f t="shared" si="14"/>
        <v/>
      </c>
      <c r="CM8" s="14" t="str">
        <f>IFERROR(INDEX($CK$6:$CK$30,_xlfn.AGGREGATE(15,6,ROW($CK$6:$CK$30)/($CK$6:$CK$30&lt;&gt;""),ROW(#REF!))-5),"")</f>
        <v/>
      </c>
      <c r="CN8" s="14" t="str">
        <f t="shared" si="39"/>
        <v/>
      </c>
      <c r="CP8" s="15" t="str">
        <f>IF(AND($B8="Baixo",$C8="Muito Alto"),"3BaMu","")</f>
        <v/>
      </c>
      <c r="CQ8" s="15" t="str">
        <f t="shared" si="15"/>
        <v/>
      </c>
      <c r="CR8" s="15" t="str">
        <f>IFERROR(INDEX($CP$6:$CP$30,_xlfn.AGGREGATE(15,6,ROW($CP$6:$CP$30)/($CP$6:$CP$30&lt;&gt;""),ROW(#REF!))-5),"")</f>
        <v/>
      </c>
      <c r="CS8" s="15" t="str">
        <f t="shared" si="40"/>
        <v/>
      </c>
      <c r="CU8" s="15" t="str">
        <f>IF(AND($B8="Baixo",$C8="Alto"),"3BaAl","")</f>
        <v/>
      </c>
      <c r="CV8" s="15" t="str">
        <f t="shared" si="16"/>
        <v/>
      </c>
      <c r="CW8" s="15" t="str">
        <f>IFERROR(INDEX($CU$6:$CU$30,_xlfn.AGGREGATE(15,6,ROW($CU$6:$CU$30)/($CU$6:$CU$30&lt;&gt;""),ROW(#REF!))-5),"")</f>
        <v/>
      </c>
      <c r="CX8" s="15" t="str">
        <f t="shared" si="41"/>
        <v/>
      </c>
      <c r="CZ8" s="15" t="str">
        <f>IF(AND($B8="Baixo",$C8="Moderado"),"3BaMo","")</f>
        <v/>
      </c>
      <c r="DA8" s="15" t="str">
        <f t="shared" si="17"/>
        <v/>
      </c>
      <c r="DB8" s="15" t="str">
        <f>IFERROR(INDEX($CZ$6:$CZ$30,_xlfn.AGGREGATE(15,6,ROW($CZ$6:$CZ$30)/($CZ$6:$CZ$30&lt;&gt;""),ROW(#REF!))-5),"")</f>
        <v/>
      </c>
      <c r="DC8" s="15" t="str">
        <f t="shared" si="42"/>
        <v/>
      </c>
      <c r="DE8" s="15" t="str">
        <f>IF(AND($B8="Baixo",$C8="Baixo"),"3BaBa","")</f>
        <v/>
      </c>
      <c r="DF8" s="15" t="str">
        <f t="shared" si="18"/>
        <v/>
      </c>
      <c r="DG8" s="15" t="str">
        <f>IFERROR(INDEX($DE$6:$DE$30,_xlfn.AGGREGATE(15,6,ROW($DE$6:$DE$30)/($DE$6:$DE$30&lt;&gt;""),ROW(#REF!))-5),"")</f>
        <v/>
      </c>
      <c r="DH8" s="15" t="str">
        <f t="shared" si="43"/>
        <v/>
      </c>
      <c r="DJ8" s="15" t="str">
        <f>IF(AND($B8="Baixo",$C8="Desprezível"),"3BaDe","")</f>
        <v/>
      </c>
      <c r="DK8" s="15" t="str">
        <f t="shared" si="19"/>
        <v/>
      </c>
      <c r="DL8" s="15" t="str">
        <f>IFERROR(INDEX($DJ$6:$DJ$30,_xlfn.AGGREGATE(15,6,ROW($DJ$6:$DJ$30)/($DJ$6:$DJ$30&lt;&gt;""),ROW(#REF!))-5),"")</f>
        <v/>
      </c>
      <c r="DM8" s="15" t="str">
        <f t="shared" si="44"/>
        <v/>
      </c>
      <c r="DO8" s="16" t="str">
        <f>IF(AND($B8="Desprezível",$C8="Muito Alto"),"3DeMu","")</f>
        <v/>
      </c>
      <c r="DP8" s="16" t="str">
        <f t="shared" si="20"/>
        <v/>
      </c>
      <c r="DQ8" s="16" t="str">
        <f>IFERROR(INDEX($DO$6:$DO$10,_xlfn.AGGREGATE(15,6,ROW($DO$6:$DO$10)/($DO$6:$DO$10&lt;&gt;""),ROW(#REF!))-5),"")</f>
        <v/>
      </c>
      <c r="DR8" s="16" t="str">
        <f t="shared" si="45"/>
        <v/>
      </c>
      <c r="DT8" s="16" t="str">
        <f>IF(AND($B8="Desprezível",$C8="Alto"),"3DeAl","")</f>
        <v/>
      </c>
      <c r="DU8" s="16" t="str">
        <f t="shared" si="21"/>
        <v/>
      </c>
      <c r="DV8" s="16" t="str">
        <f>IFERROR(INDEX($DT$6:$DT$30,_xlfn.AGGREGATE(15,6,ROW($DT$6:$DT$30)/($DT$6:$DT$30&lt;&gt;""),ROW(#REF!))-5),"")</f>
        <v/>
      </c>
      <c r="DW8" s="16" t="str">
        <f t="shared" si="46"/>
        <v/>
      </c>
      <c r="DY8" s="16" t="str">
        <f>IF(AND($B8="Desprezível",$C8="Moderado"),"3DeMo","")</f>
        <v/>
      </c>
      <c r="DZ8" s="16" t="str">
        <f t="shared" si="22"/>
        <v/>
      </c>
      <c r="EA8" s="16" t="str">
        <f>IFERROR(INDEX($DY$6:$DY$30,_xlfn.AGGREGATE(15,6,ROW($DY$6:$DY$30)/($DY$6:$DY$30&lt;&gt;""),ROW(#REF!))-5),"")</f>
        <v/>
      </c>
      <c r="EB8" s="16" t="str">
        <f t="shared" si="47"/>
        <v/>
      </c>
      <c r="ED8" s="16" t="str">
        <f>IF(AND($B8="Desprezível",$C8="Baixo"),"3DeBa","")</f>
        <v/>
      </c>
      <c r="EE8" s="16" t="str">
        <f t="shared" si="23"/>
        <v/>
      </c>
      <c r="EF8" s="16" t="str">
        <f>IFERROR(INDEX($ED$6:$ED$30,_xlfn.AGGREGATE(15,6,ROW($ED$6:$ED$30)/($ED$6:$ED$30&lt;&gt;""),ROW(#REF!))-5),"")</f>
        <v/>
      </c>
      <c r="EG8" s="16" t="str">
        <f t="shared" si="48"/>
        <v/>
      </c>
      <c r="EI8" s="16" t="str">
        <f>IF(AND($B8="Desprezível",$C8="Desprezível"),"3DeDe","")</f>
        <v/>
      </c>
      <c r="EJ8" s="16" t="str">
        <f t="shared" si="24"/>
        <v/>
      </c>
      <c r="EK8" s="16" t="str">
        <f>IFERROR(INDEX($EI$6:$EI$30,_xlfn.AGGREGATE(15,6,ROW($EI$6:$EI$30)/($EI$6:$EI$30&lt;&gt;""),ROW(#REF!))-5),"")</f>
        <v/>
      </c>
      <c r="EL8" s="16" t="str">
        <f t="shared" si="49"/>
        <v/>
      </c>
      <c r="GF8" s="1"/>
      <c r="GG8" s="1"/>
      <c r="GH8" s="1"/>
      <c r="GI8" s="1"/>
      <c r="GJ8" s="1"/>
    </row>
    <row r="9" spans="1:192" ht="28.5" customHeight="1" x14ac:dyDescent="0.25">
      <c r="A9" s="38" t="s">
        <v>6</v>
      </c>
      <c r="B9" s="40" t="s">
        <v>2</v>
      </c>
      <c r="C9" s="40" t="s">
        <v>31</v>
      </c>
      <c r="G9" s="37"/>
      <c r="H9" s="18"/>
      <c r="I9" s="19"/>
      <c r="J9" s="20"/>
      <c r="K9" s="21"/>
      <c r="L9" s="22"/>
      <c r="S9" s="12" t="str">
        <f>IF(AND($B9="Muito Alto",$C9="Muito Alto"),"4MuMu","")</f>
        <v/>
      </c>
      <c r="T9" s="12" t="str">
        <f t="shared" si="0"/>
        <v/>
      </c>
      <c r="U9" s="12" t="str">
        <f>IFERROR(INDEX($S$6:$S$10,_xlfn.AGGREGATE(15,6,ROW($S$6:$S$10)/($S$6:$S$10&lt;&gt;""),ROW(#REF!))-5),"")</f>
        <v/>
      </c>
      <c r="V9" s="12" t="str">
        <f t="shared" si="25"/>
        <v/>
      </c>
      <c r="X9" s="12" t="str">
        <f>IF(AND($B9="Muito Alto",$C9="Alto"),"4MuAl","")</f>
        <v/>
      </c>
      <c r="Y9" s="12" t="str">
        <f t="shared" si="1"/>
        <v/>
      </c>
      <c r="Z9" s="12" t="str">
        <f>IFERROR(INDEX($X$6:$X$30,_xlfn.AGGREGATE(15,6,ROW($X$6:$X$30)/($X$6:$X$30&lt;&gt;""),ROW(#REF!))-5),"")</f>
        <v/>
      </c>
      <c r="AA9" s="12" t="str">
        <f t="shared" si="26"/>
        <v/>
      </c>
      <c r="AC9" s="12" t="str">
        <f>IF(AND($B9="Muito Alto",$C9="Moderado"),"4MuMo","")</f>
        <v/>
      </c>
      <c r="AD9" s="12" t="str">
        <f t="shared" si="2"/>
        <v/>
      </c>
      <c r="AE9" s="12" t="str">
        <f>IFERROR(INDEX($AC$6:$AC$30,_xlfn.AGGREGATE(15,6,ROW($AC$6:$AC$30)/($AC$6:$AC$30&lt;&gt;""),ROW(#REF!))-5),"")</f>
        <v/>
      </c>
      <c r="AF9" s="12" t="str">
        <f t="shared" si="27"/>
        <v/>
      </c>
      <c r="AH9" s="17" t="str">
        <f>IF(AND($B9="Muito Alto",$C9="Baixo"),"4MuBa","")</f>
        <v>4MuBa</v>
      </c>
      <c r="AI9" s="12" t="str">
        <f t="shared" si="3"/>
        <v/>
      </c>
      <c r="AJ9" s="12" t="str">
        <f>IFERROR(INDEX($AH$6:$AH$30,_xlfn.AGGREGATE(15,6,ROW($AH$6:$AH$30)/($AH$6:$AH$30&lt;&gt;""),ROW(#REF!))-5),"")</f>
        <v/>
      </c>
      <c r="AK9" s="12" t="str">
        <f t="shared" si="28"/>
        <v/>
      </c>
      <c r="AM9" s="12" t="str">
        <f>IF(AND($B9="Muito Alto",$C9="Desprezível"),"4MuDe","")</f>
        <v/>
      </c>
      <c r="AN9" s="12" t="str">
        <f t="shared" si="4"/>
        <v/>
      </c>
      <c r="AO9" s="12" t="str">
        <f>IFERROR(INDEX($AM$6:$AM$30,_xlfn.AGGREGATE(15,6,ROW($AM$6:$AM$30)/($AM$6:$AM$30&lt;&gt;""),ROW(#REF!))-5),"")</f>
        <v/>
      </c>
      <c r="AP9" s="12" t="str">
        <f t="shared" si="29"/>
        <v/>
      </c>
      <c r="AR9" s="13" t="str">
        <f>IF(AND($B9="Alto",$C9="Muito Alto"),"4AlMu","")</f>
        <v/>
      </c>
      <c r="AS9" s="13" t="str">
        <f t="shared" si="5"/>
        <v/>
      </c>
      <c r="AT9" s="13" t="str">
        <f>IFERROR(INDEX($AR$6:$AR$10,_xlfn.AGGREGATE(15,6,ROW($AR$6:$AR$10)/($AR$6:$AR$10&lt;&gt;""),ROW(#REF!))-5),"")</f>
        <v/>
      </c>
      <c r="AU9" s="13" t="str">
        <f t="shared" si="30"/>
        <v/>
      </c>
      <c r="AW9" s="13" t="str">
        <f>IF(AND($B9="Alto",$C9="Alto"),"4AlAl","")</f>
        <v/>
      </c>
      <c r="AX9" s="13" t="str">
        <f t="shared" si="6"/>
        <v/>
      </c>
      <c r="AY9" s="13" t="str">
        <f>IFERROR(INDEX($AW$6:$AW$30,_xlfn.AGGREGATE(15,6,ROW($AW$6:$AW$30)/($AW$6:$AW$30&lt;&gt;""),ROW(#REF!))-5),"")</f>
        <v/>
      </c>
      <c r="AZ9" s="13" t="str">
        <f t="shared" si="31"/>
        <v/>
      </c>
      <c r="BB9" s="13" t="str">
        <f>IF(AND($B9="Alto",$C9="Moderado"),"4AlMo","")</f>
        <v/>
      </c>
      <c r="BC9" s="13" t="str">
        <f t="shared" si="7"/>
        <v/>
      </c>
      <c r="BD9" s="13" t="str">
        <f>IFERROR(INDEX($BB$6:$BB$30,_xlfn.AGGREGATE(15,6,ROW($BB$6:$BB$30)/($BB$6:$BB$30&lt;&gt;""),ROW(#REF!))-5),"")</f>
        <v/>
      </c>
      <c r="BE9" s="13" t="str">
        <f t="shared" si="32"/>
        <v/>
      </c>
      <c r="BG9" s="13" t="str">
        <f>IF(AND($B9="Alto",$C9="Baixo"),"4AlBa","")</f>
        <v/>
      </c>
      <c r="BH9" s="13" t="str">
        <f t="shared" si="8"/>
        <v/>
      </c>
      <c r="BI9" s="13" t="str">
        <f>IFERROR(INDEX($BG$6:$BG$30,_xlfn.AGGREGATE(15,6,ROW($BG$6:$BG$30)/($BG$6:$BG$30&lt;&gt;""),ROW(#REF!))-5),"")</f>
        <v/>
      </c>
      <c r="BJ9" s="13" t="str">
        <f t="shared" si="33"/>
        <v/>
      </c>
      <c r="BL9" s="13" t="str">
        <f>IF(AND($B9="Alto",$C9="Desprezível"),"4AlDe","")</f>
        <v/>
      </c>
      <c r="BM9" s="13" t="str">
        <f t="shared" si="9"/>
        <v/>
      </c>
      <c r="BN9" s="13" t="str">
        <f>IFERROR(INDEX($BL$6:$BL$30,_xlfn.AGGREGATE(15,6,ROW($BL$6:$BL$30)/($BL$6:$BL$30&lt;&gt;""),ROW(#REF!))-5),"")</f>
        <v/>
      </c>
      <c r="BO9" s="13" t="str">
        <f t="shared" si="34"/>
        <v/>
      </c>
      <c r="BQ9" s="14" t="str">
        <f>IF(AND($B9="Moderado",$C9="Muito Alto"),"4MoMu","")</f>
        <v/>
      </c>
      <c r="BR9" s="14" t="str">
        <f t="shared" si="10"/>
        <v/>
      </c>
      <c r="BS9" s="14" t="str">
        <f>IFERROR(INDEX($BQ$6:$BQ$10,_xlfn.AGGREGATE(15,6,ROW($BQ$6:$BQ$10)/($BQ$6:$BQ$10&lt;&gt;""),ROW(#REF!))-5),"")</f>
        <v/>
      </c>
      <c r="BT9" s="14" t="str">
        <f t="shared" si="35"/>
        <v/>
      </c>
      <c r="BV9" s="14" t="str">
        <f>IF(AND($B9="Moderado",$C9="Alto"),"4MoAl","")</f>
        <v/>
      </c>
      <c r="BW9" s="14" t="str">
        <f t="shared" si="11"/>
        <v/>
      </c>
      <c r="BX9" s="14" t="str">
        <f>IFERROR(INDEX($BV$6:$BV$30,_xlfn.AGGREGATE(15,6,ROW($BV$6:$BV$30)/($BV$6:$BV$30&lt;&gt;""),ROW(#REF!))-5),"")</f>
        <v/>
      </c>
      <c r="BY9" s="14" t="str">
        <f t="shared" si="36"/>
        <v/>
      </c>
      <c r="CA9" s="14" t="str">
        <f>IF(AND($B9="Moderado",$C9="Moderado"),"4MoMo","")</f>
        <v/>
      </c>
      <c r="CB9" s="14" t="str">
        <f t="shared" si="12"/>
        <v/>
      </c>
      <c r="CC9" s="14" t="str">
        <f>IFERROR(INDEX($CA$6:$CA$30,_xlfn.AGGREGATE(15,6,ROW($CA$6:$CA$30)/($CA$6:$CA$30&lt;&gt;""),ROW(#REF!))-5),"")</f>
        <v/>
      </c>
      <c r="CD9" s="14" t="str">
        <f t="shared" si="37"/>
        <v/>
      </c>
      <c r="CF9" s="14" t="str">
        <f>IF(AND($B9="Moderado",$C9="Baixo"),"4MoBa","")</f>
        <v/>
      </c>
      <c r="CG9" s="14" t="str">
        <f t="shared" si="13"/>
        <v/>
      </c>
      <c r="CH9" s="14" t="str">
        <f>IFERROR(INDEX($CF$6:$CF$30,_xlfn.AGGREGATE(15,6,ROW($CF$6:$CF$30)/($CF$6:$CF$30&lt;&gt;""),ROW(#REF!))-5),"")</f>
        <v/>
      </c>
      <c r="CI9" s="14" t="str">
        <f t="shared" si="38"/>
        <v/>
      </c>
      <c r="CK9" s="14" t="str">
        <f>IF(AND($B9="Moderado",$C9="Desprezível"),"4MoDe","")</f>
        <v/>
      </c>
      <c r="CL9" s="14" t="str">
        <f t="shared" si="14"/>
        <v/>
      </c>
      <c r="CM9" s="14" t="str">
        <f>IFERROR(INDEX($CK$6:$CK$30,_xlfn.AGGREGATE(15,6,ROW($CK$6:$CK$30)/($CK$6:$CK$30&lt;&gt;""),ROW(#REF!))-5),"")</f>
        <v/>
      </c>
      <c r="CN9" s="14" t="str">
        <f t="shared" si="39"/>
        <v/>
      </c>
      <c r="CP9" s="15" t="str">
        <f>IF(AND($B9="Baixo",$C9="Muito Alto"),"4BaMu","")</f>
        <v/>
      </c>
      <c r="CQ9" s="15" t="str">
        <f t="shared" si="15"/>
        <v/>
      </c>
      <c r="CR9" s="15" t="str">
        <f>IFERROR(INDEX($CP$6:$CP$30,_xlfn.AGGREGATE(15,6,ROW($CP$6:$CP$30)/($CP$6:$CP$30&lt;&gt;""),ROW(#REF!))-5),"")</f>
        <v/>
      </c>
      <c r="CS9" s="15" t="str">
        <f t="shared" si="40"/>
        <v/>
      </c>
      <c r="CU9" s="15" t="str">
        <f>IF(AND($B9="Baixo",$C9="Alto"),"4BaAl","")</f>
        <v/>
      </c>
      <c r="CV9" s="15" t="str">
        <f t="shared" si="16"/>
        <v/>
      </c>
      <c r="CW9" s="15" t="str">
        <f>IFERROR(INDEX($CU$6:$CU$30,_xlfn.AGGREGATE(15,6,ROW($CU$6:$CU$30)/($CU$6:$CU$30&lt;&gt;""),ROW(#REF!))-5),"")</f>
        <v/>
      </c>
      <c r="CX9" s="15" t="str">
        <f t="shared" si="41"/>
        <v/>
      </c>
      <c r="CZ9" s="15" t="str">
        <f>IF(AND($B9="Baixo",$C9="Moderado"),"4BaMo","")</f>
        <v/>
      </c>
      <c r="DA9" s="15" t="str">
        <f t="shared" si="17"/>
        <v/>
      </c>
      <c r="DB9" s="15" t="str">
        <f>IFERROR(INDEX($CZ$6:$CZ$30,_xlfn.AGGREGATE(15,6,ROW($CZ$6:$CZ$30)/($CZ$6:$CZ$30&lt;&gt;""),ROW(#REF!))-5),"")</f>
        <v/>
      </c>
      <c r="DC9" s="15" t="str">
        <f t="shared" si="42"/>
        <v/>
      </c>
      <c r="DE9" s="15" t="str">
        <f>IF(AND($B9="Baixo",$C9="Baixo"),"4BaBa","")</f>
        <v/>
      </c>
      <c r="DF9" s="15" t="str">
        <f t="shared" si="18"/>
        <v/>
      </c>
      <c r="DG9" s="15" t="str">
        <f>IFERROR(INDEX($DE$6:$DE$30,_xlfn.AGGREGATE(15,6,ROW($DE$6:$DE$30)/($DE$6:$DE$30&lt;&gt;""),ROW(#REF!))-5),"")</f>
        <v/>
      </c>
      <c r="DH9" s="15" t="str">
        <f t="shared" si="43"/>
        <v/>
      </c>
      <c r="DJ9" s="15" t="str">
        <f>IF(AND($B9="Baixo",$C9="Desprezível"),"4BaDe","")</f>
        <v/>
      </c>
      <c r="DK9" s="15" t="str">
        <f t="shared" si="19"/>
        <v/>
      </c>
      <c r="DL9" s="15" t="str">
        <f>IFERROR(INDEX($DJ$6:$DJ$30,_xlfn.AGGREGATE(15,6,ROW($DJ$6:$DJ$30)/($DJ$6:$DJ$30&lt;&gt;""),ROW(#REF!))-5),"")</f>
        <v/>
      </c>
      <c r="DM9" s="15" t="str">
        <f t="shared" si="44"/>
        <v/>
      </c>
      <c r="DO9" s="16" t="str">
        <f>IF(AND($B9="Desprezível",$C9="Muito Alto"),"4DeMu","")</f>
        <v/>
      </c>
      <c r="DP9" s="16" t="str">
        <f t="shared" si="20"/>
        <v/>
      </c>
      <c r="DQ9" s="16" t="str">
        <f>IFERROR(INDEX($DO$6:$DO$10,_xlfn.AGGREGATE(15,6,ROW($DO$6:$DO$10)/($DO$6:$DO$10&lt;&gt;""),ROW(#REF!))-5),"")</f>
        <v/>
      </c>
      <c r="DR9" s="16" t="str">
        <f t="shared" si="45"/>
        <v/>
      </c>
      <c r="DT9" s="16" t="str">
        <f>IF(AND($B9="Desprezível",$C9="Alto"),"4DeAl","")</f>
        <v/>
      </c>
      <c r="DU9" s="16" t="str">
        <f t="shared" si="21"/>
        <v/>
      </c>
      <c r="DV9" s="16" t="str">
        <f>IFERROR(INDEX($DT$6:$DT$30,_xlfn.AGGREGATE(15,6,ROW($DT$6:$DT$30)/($DT$6:$DT$30&lt;&gt;""),ROW(#REF!))-5),"")</f>
        <v/>
      </c>
      <c r="DW9" s="16" t="str">
        <f t="shared" si="46"/>
        <v/>
      </c>
      <c r="DY9" s="16" t="str">
        <f>IF(AND($B9="Desprezível",$C9="Moderado"),"4DeMo","")</f>
        <v/>
      </c>
      <c r="DZ9" s="16" t="str">
        <f t="shared" si="22"/>
        <v/>
      </c>
      <c r="EA9" s="16" t="str">
        <f>IFERROR(INDEX($DY$6:$DY$30,_xlfn.AGGREGATE(15,6,ROW($DY$6:$DY$30)/($DY$6:$DY$30&lt;&gt;""),ROW(#REF!))-5),"")</f>
        <v/>
      </c>
      <c r="EB9" s="16" t="str">
        <f t="shared" si="47"/>
        <v/>
      </c>
      <c r="ED9" s="16" t="str">
        <f>IF(AND($B9="Desprezível",$C9="Baixo"),"4DeBa","")</f>
        <v/>
      </c>
      <c r="EE9" s="16" t="str">
        <f t="shared" si="23"/>
        <v/>
      </c>
      <c r="EF9" s="16" t="str">
        <f>IFERROR(INDEX($ED$6:$ED$30,_xlfn.AGGREGATE(15,6,ROW($ED$6:$ED$30)/($ED$6:$ED$30&lt;&gt;""),ROW(#REF!))-5),"")</f>
        <v/>
      </c>
      <c r="EG9" s="16" t="str">
        <f t="shared" si="48"/>
        <v/>
      </c>
      <c r="EI9" s="16" t="str">
        <f>IF(AND($B9="Desprezível",$C9="Desprezível"),"4DeDe","")</f>
        <v/>
      </c>
      <c r="EJ9" s="16" t="str">
        <f t="shared" si="24"/>
        <v/>
      </c>
      <c r="EK9" s="16" t="str">
        <f>IFERROR(INDEX($EI$6:$EI$30,_xlfn.AGGREGATE(15,6,ROW($EI$6:$EI$30)/($EI$6:$EI$30&lt;&gt;""),ROW(#REF!))-5),"")</f>
        <v/>
      </c>
      <c r="EL9" s="16" t="str">
        <f t="shared" si="49"/>
        <v/>
      </c>
      <c r="GF9" s="1"/>
      <c r="GG9" s="1"/>
      <c r="GH9" s="1"/>
      <c r="GI9" s="1"/>
      <c r="GJ9" s="1"/>
    </row>
    <row r="10" spans="1:192" ht="28.5" customHeight="1" x14ac:dyDescent="0.25">
      <c r="A10" s="38" t="s">
        <v>7</v>
      </c>
      <c r="B10" s="40" t="s">
        <v>2</v>
      </c>
      <c r="C10" s="40" t="s">
        <v>32</v>
      </c>
      <c r="G10" s="37"/>
      <c r="H10" s="7" t="s">
        <v>12</v>
      </c>
      <c r="I10" s="8" t="s">
        <v>11</v>
      </c>
      <c r="J10" s="23" t="s">
        <v>10</v>
      </c>
      <c r="K10" s="10" t="s">
        <v>9</v>
      </c>
      <c r="L10" s="11" t="s">
        <v>8</v>
      </c>
      <c r="S10" s="12" t="str">
        <f>IF(AND($B10="Muito Alto",$C10="Muito Alto"),"5MuMu","")</f>
        <v/>
      </c>
      <c r="T10" s="12" t="str">
        <f t="shared" si="0"/>
        <v/>
      </c>
      <c r="U10" s="12" t="str">
        <f>IFERROR(INDEX($S$6:$S$10,_xlfn.AGGREGATE(15,6,ROW($S$6:$S$10)/($S$6:$S$10&lt;&gt;""),ROW(#REF!))-5),"")</f>
        <v/>
      </c>
      <c r="V10" s="12" t="str">
        <f t="shared" si="25"/>
        <v/>
      </c>
      <c r="X10" s="12" t="str">
        <f>IF(AND($B10="Muito Alto",$C10="Alto"),"5MuAl","")</f>
        <v/>
      </c>
      <c r="Y10" s="12" t="str">
        <f t="shared" si="1"/>
        <v/>
      </c>
      <c r="Z10" s="12" t="str">
        <f>IFERROR(INDEX($X$6:$X$30,_xlfn.AGGREGATE(15,6,ROW($X$6:$X$30)/($X$6:$X$30&lt;&gt;""),ROW(#REF!))-5),"")</f>
        <v/>
      </c>
      <c r="AA10" s="12" t="str">
        <f t="shared" si="26"/>
        <v/>
      </c>
      <c r="AC10" s="12" t="str">
        <f>IF(AND($B10="Muito Alto",$C10="Moderado"),"5MuMo","")</f>
        <v/>
      </c>
      <c r="AD10" s="12" t="str">
        <f t="shared" si="2"/>
        <v/>
      </c>
      <c r="AE10" s="12" t="str">
        <f>IFERROR(INDEX($AC$6:$AC$30,_xlfn.AGGREGATE(15,6,ROW($AC$6:$AC$30)/($AC$6:$AC$30&lt;&gt;""),ROW(#REF!))-5),"")</f>
        <v/>
      </c>
      <c r="AF10" s="12" t="str">
        <f t="shared" si="27"/>
        <v/>
      </c>
      <c r="AH10" s="17" t="str">
        <f>IF(AND($B10="Muito Alto",$C10="Baixo"),"5MuBa","")</f>
        <v/>
      </c>
      <c r="AI10" s="12" t="str">
        <f t="shared" si="3"/>
        <v/>
      </c>
      <c r="AJ10" s="12" t="str">
        <f>IFERROR(INDEX($AH$6:$AH$30,_xlfn.AGGREGATE(15,6,ROW($AH$6:$AH$30)/($AH$6:$AH$30&lt;&gt;""),ROW(#REF!))-5),"")</f>
        <v/>
      </c>
      <c r="AK10" s="12" t="str">
        <f t="shared" si="28"/>
        <v/>
      </c>
      <c r="AM10" s="12" t="str">
        <f>IF(AND($B10="Muito Alto",$C10="Desprezível"),"5MuDe","")</f>
        <v>5MuDe</v>
      </c>
      <c r="AN10" s="12" t="str">
        <f t="shared" si="4"/>
        <v/>
      </c>
      <c r="AO10" s="12" t="str">
        <f>IFERROR(INDEX($AM$6:$AM$30,_xlfn.AGGREGATE(15,6,ROW($AM$6:$AM$30)/($AM$6:$AM$30&lt;&gt;""),ROW(#REF!))-5),"")</f>
        <v/>
      </c>
      <c r="AP10" s="12" t="str">
        <f t="shared" si="29"/>
        <v/>
      </c>
      <c r="AR10" s="13" t="str">
        <f>IF(AND($B10="Alto",$C10="Muito Alto"),"5AlMu","")</f>
        <v/>
      </c>
      <c r="AS10" s="13" t="str">
        <f t="shared" si="5"/>
        <v/>
      </c>
      <c r="AT10" s="13" t="str">
        <f>IFERROR(INDEX($AR$6:$AR$10,_xlfn.AGGREGATE(15,6,ROW($AR$6:$AR$10)/($AR$6:$AR$10&lt;&gt;""),ROW(#REF!))-5),"")</f>
        <v/>
      </c>
      <c r="AU10" s="13" t="str">
        <f t="shared" si="30"/>
        <v/>
      </c>
      <c r="AW10" s="13" t="str">
        <f>IF(AND($B10="Alto",$C10="Alto"),"5AlAl","")</f>
        <v/>
      </c>
      <c r="AX10" s="13" t="str">
        <f t="shared" si="6"/>
        <v/>
      </c>
      <c r="AY10" s="13" t="str">
        <f>IFERROR(INDEX($AW$6:$AW$30,_xlfn.AGGREGATE(15,6,ROW($AW$6:$AW$30)/($AW$6:$AW$30&lt;&gt;""),ROW(#REF!))-5),"")</f>
        <v/>
      </c>
      <c r="AZ10" s="13" t="str">
        <f t="shared" si="31"/>
        <v/>
      </c>
      <c r="BB10" s="13" t="str">
        <f>IF(AND($B10="Alto",$C10="Moderado"),"5AlMo","")</f>
        <v/>
      </c>
      <c r="BC10" s="13" t="str">
        <f t="shared" si="7"/>
        <v/>
      </c>
      <c r="BD10" s="13" t="str">
        <f>IFERROR(INDEX($BB$6:$BB$30,_xlfn.AGGREGATE(15,6,ROW($BB$6:$BB$30)/($BB$6:$BB$30&lt;&gt;""),ROW(#REF!))-5),"")</f>
        <v/>
      </c>
      <c r="BE10" s="13" t="str">
        <f t="shared" si="32"/>
        <v/>
      </c>
      <c r="BG10" s="13" t="str">
        <f>IF(AND($B10="Alto",$C10="Baixo"),"5AlBa","")</f>
        <v/>
      </c>
      <c r="BH10" s="13" t="str">
        <f t="shared" si="8"/>
        <v/>
      </c>
      <c r="BI10" s="13" t="str">
        <f>IFERROR(INDEX($BG$6:$BG$30,_xlfn.AGGREGATE(15,6,ROW($BG$6:$BG$30)/($BG$6:$BG$30&lt;&gt;""),ROW(#REF!))-5),"")</f>
        <v/>
      </c>
      <c r="BJ10" s="13" t="str">
        <f t="shared" si="33"/>
        <v/>
      </c>
      <c r="BL10" s="13" t="str">
        <f>IF(AND($B10="Alto",$C10="Desprezível"),"5AlDe","")</f>
        <v/>
      </c>
      <c r="BM10" s="13" t="str">
        <f t="shared" si="9"/>
        <v/>
      </c>
      <c r="BN10" s="13" t="str">
        <f>IFERROR(INDEX($BL$6:$BL$30,_xlfn.AGGREGATE(15,6,ROW($BL$6:$BL$30)/($BL$6:$BL$30&lt;&gt;""),ROW(#REF!))-5),"")</f>
        <v/>
      </c>
      <c r="BO10" s="13" t="str">
        <f t="shared" si="34"/>
        <v/>
      </c>
      <c r="BQ10" s="14" t="str">
        <f>IF(AND($B10="Moderado",$C10="Muito Alto"),"5MoMu","")</f>
        <v/>
      </c>
      <c r="BR10" s="14" t="str">
        <f t="shared" si="10"/>
        <v/>
      </c>
      <c r="BS10" s="14" t="str">
        <f>IFERROR(INDEX($BQ$6:$BQ$10,_xlfn.AGGREGATE(15,6,ROW($BQ$6:$BQ$10)/($BQ$6:$BQ$10&lt;&gt;""),ROW(#REF!))-5),"")</f>
        <v/>
      </c>
      <c r="BT10" s="14" t="str">
        <f t="shared" si="35"/>
        <v/>
      </c>
      <c r="BV10" s="14" t="str">
        <f>IF(AND($B10="Moderado",$C10="Alto"),"5MoAl","")</f>
        <v/>
      </c>
      <c r="BW10" s="14" t="str">
        <f t="shared" si="11"/>
        <v/>
      </c>
      <c r="BX10" s="14" t="str">
        <f>IFERROR(INDEX($BV$6:$BV$30,_xlfn.AGGREGATE(15,6,ROW($BV$6:$BV$30)/($BV$6:$BV$30&lt;&gt;""),ROW(#REF!))-5),"")</f>
        <v/>
      </c>
      <c r="BY10" s="14" t="str">
        <f t="shared" si="36"/>
        <v/>
      </c>
      <c r="CA10" s="14" t="str">
        <f>IF(AND($B10="Moderado",$C10="Moderado"),"5MoMo","")</f>
        <v/>
      </c>
      <c r="CB10" s="14" t="str">
        <f t="shared" si="12"/>
        <v/>
      </c>
      <c r="CC10" s="14" t="str">
        <f>IFERROR(INDEX($CA$6:$CA$30,_xlfn.AGGREGATE(15,6,ROW($CA$6:$CA$30)/($CA$6:$CA$30&lt;&gt;""),ROW(#REF!))-5),"")</f>
        <v/>
      </c>
      <c r="CD10" s="14" t="str">
        <f t="shared" si="37"/>
        <v/>
      </c>
      <c r="CF10" s="14" t="str">
        <f>IF(AND($B10="Moderado",$C10="Baixo"),"5MoBa","")</f>
        <v/>
      </c>
      <c r="CG10" s="14" t="str">
        <f t="shared" si="13"/>
        <v/>
      </c>
      <c r="CH10" s="14" t="str">
        <f>IFERROR(INDEX($CF$6:$CF$30,_xlfn.AGGREGATE(15,6,ROW($CF$6:$CF$30)/($CF$6:$CF$30&lt;&gt;""),ROW(#REF!))-5),"")</f>
        <v/>
      </c>
      <c r="CI10" s="14" t="str">
        <f t="shared" si="38"/>
        <v/>
      </c>
      <c r="CK10" s="14" t="str">
        <f>IF(AND($B10="Moderado",$C10="Desprezível"),"5MoDe","")</f>
        <v/>
      </c>
      <c r="CL10" s="14" t="str">
        <f t="shared" si="14"/>
        <v/>
      </c>
      <c r="CM10" s="14" t="str">
        <f>IFERROR(INDEX($CK$6:$CK$30,_xlfn.AGGREGATE(15,6,ROW($CK$6:$CK$30)/($CK$6:$CK$30&lt;&gt;""),ROW(#REF!))-5),"")</f>
        <v/>
      </c>
      <c r="CN10" s="14" t="str">
        <f t="shared" si="39"/>
        <v/>
      </c>
      <c r="CP10" s="15" t="str">
        <f>IF(AND($B10="Baixo",$C10="Muito Alto"),"5BaMu","")</f>
        <v/>
      </c>
      <c r="CQ10" s="15" t="str">
        <f t="shared" si="15"/>
        <v/>
      </c>
      <c r="CR10" s="15" t="str">
        <f>IFERROR(INDEX($CP$6:$CP$30,_xlfn.AGGREGATE(15,6,ROW($CP$6:$CP$30)/($CP$6:$CP$30&lt;&gt;""),ROW(#REF!))-5),"")</f>
        <v/>
      </c>
      <c r="CS10" s="15" t="str">
        <f t="shared" si="40"/>
        <v/>
      </c>
      <c r="CU10" s="15" t="str">
        <f>IF(AND($B10="Baixo",$C10="Alto"),"5BaAl","")</f>
        <v/>
      </c>
      <c r="CV10" s="15" t="str">
        <f t="shared" si="16"/>
        <v/>
      </c>
      <c r="CW10" s="15" t="str">
        <f>IFERROR(INDEX($CU$6:$CU$30,_xlfn.AGGREGATE(15,6,ROW($CU$6:$CU$30)/($CU$6:$CU$30&lt;&gt;""),ROW(#REF!))-5),"")</f>
        <v/>
      </c>
      <c r="CX10" s="15" t="str">
        <f t="shared" si="41"/>
        <v/>
      </c>
      <c r="CZ10" s="15" t="str">
        <f>IF(AND($B10="Baixo",$C10="Moderado"),"5BaMo","")</f>
        <v/>
      </c>
      <c r="DA10" s="15" t="str">
        <f t="shared" si="17"/>
        <v/>
      </c>
      <c r="DB10" s="15" t="str">
        <f>IFERROR(INDEX($CZ$6:$CZ$30,_xlfn.AGGREGATE(15,6,ROW($CZ$6:$CZ$30)/($CZ$6:$CZ$30&lt;&gt;""),ROW(#REF!))-5),"")</f>
        <v/>
      </c>
      <c r="DC10" s="15" t="str">
        <f t="shared" si="42"/>
        <v/>
      </c>
      <c r="DE10" s="15" t="str">
        <f>IF(AND($B10="Baixo",$C10="Baixo"),"5BaBa","")</f>
        <v/>
      </c>
      <c r="DF10" s="15" t="str">
        <f t="shared" si="18"/>
        <v/>
      </c>
      <c r="DG10" s="15" t="str">
        <f>IFERROR(INDEX($DE$6:$DE$30,_xlfn.AGGREGATE(15,6,ROW($DE$6:$DE$30)/($DE$6:$DE$30&lt;&gt;""),ROW(#REF!))-5),"")</f>
        <v/>
      </c>
      <c r="DH10" s="15" t="str">
        <f t="shared" si="43"/>
        <v/>
      </c>
      <c r="DJ10" s="15" t="str">
        <f>IF(AND($B10="Baixo",$C10="Desprezível"),"5BaDe","")</f>
        <v/>
      </c>
      <c r="DK10" s="15" t="str">
        <f t="shared" si="19"/>
        <v/>
      </c>
      <c r="DL10" s="15" t="str">
        <f>IFERROR(INDEX($DJ$6:$DJ$30,_xlfn.AGGREGATE(15,6,ROW($DJ$6:$DJ$30)/($DJ$6:$DJ$30&lt;&gt;""),ROW(#REF!))-5),"")</f>
        <v/>
      </c>
      <c r="DM10" s="15" t="str">
        <f t="shared" si="44"/>
        <v/>
      </c>
      <c r="DO10" s="16" t="str">
        <f>IF(AND($B10="Desprezível",$C10="Muito Alto"),"5DeMu","")</f>
        <v/>
      </c>
      <c r="DP10" s="16" t="str">
        <f t="shared" si="20"/>
        <v/>
      </c>
      <c r="DQ10" s="16" t="str">
        <f>IFERROR(INDEX($DO$6:$DO$10,_xlfn.AGGREGATE(15,6,ROW($DO$6:$DO$10)/($DO$6:$DO$10&lt;&gt;""),ROW(#REF!))-5),"")</f>
        <v/>
      </c>
      <c r="DR10" s="16" t="str">
        <f t="shared" si="45"/>
        <v/>
      </c>
      <c r="DT10" s="16" t="str">
        <f>IF(AND($B10="Desprezível",$C10="Alto"),"5DeAl","")</f>
        <v/>
      </c>
      <c r="DU10" s="16" t="str">
        <f t="shared" si="21"/>
        <v/>
      </c>
      <c r="DV10" s="16" t="str">
        <f>IFERROR(INDEX($DT$6:$DT$30,_xlfn.AGGREGATE(15,6,ROW($DT$6:$DT$30)/($DT$6:$DT$30&lt;&gt;""),ROW(#REF!))-5),"")</f>
        <v/>
      </c>
      <c r="DW10" s="16" t="str">
        <f t="shared" si="46"/>
        <v/>
      </c>
      <c r="DY10" s="16" t="str">
        <f>IF(AND($B10="Desprezível",$C10="Moderado"),"5DeMo","")</f>
        <v/>
      </c>
      <c r="DZ10" s="16" t="str">
        <f t="shared" si="22"/>
        <v/>
      </c>
      <c r="EA10" s="16" t="str">
        <f>IFERROR(INDEX($DY$6:$DY$30,_xlfn.AGGREGATE(15,6,ROW($DY$6:$DY$30)/($DY$6:$DY$30&lt;&gt;""),ROW(#REF!))-5),"")</f>
        <v/>
      </c>
      <c r="EB10" s="16" t="str">
        <f t="shared" si="47"/>
        <v/>
      </c>
      <c r="ED10" s="16" t="str">
        <f>IF(AND($B10="Desprezível",$C10="Baixo"),"5DeBa","")</f>
        <v/>
      </c>
      <c r="EE10" s="16" t="str">
        <f t="shared" si="23"/>
        <v/>
      </c>
      <c r="EF10" s="16" t="str">
        <f>IFERROR(INDEX($ED$6:$ED$30,_xlfn.AGGREGATE(15,6,ROW($ED$6:$ED$30)/($ED$6:$ED$30&lt;&gt;""),ROW(#REF!))-5),"")</f>
        <v/>
      </c>
      <c r="EG10" s="16" t="str">
        <f t="shared" si="48"/>
        <v/>
      </c>
      <c r="EI10" s="16" t="str">
        <f>IF(AND($B10="Desprezível",$C10="Desprezível"),"5DeDe","")</f>
        <v/>
      </c>
      <c r="EJ10" s="16" t="str">
        <f t="shared" si="24"/>
        <v/>
      </c>
      <c r="EK10" s="16" t="str">
        <f>IFERROR(INDEX($EI$6:$EI$30,_xlfn.AGGREGATE(15,6,ROW($EI$6:$EI$30)/($EI$6:$EI$30&lt;&gt;""),ROW(#REF!))-5),"")</f>
        <v/>
      </c>
      <c r="EL10" s="16" t="str">
        <f t="shared" si="49"/>
        <v/>
      </c>
      <c r="GF10" s="1"/>
      <c r="GG10" s="1"/>
      <c r="GH10" s="1"/>
      <c r="GI10" s="1"/>
      <c r="GJ10" s="1"/>
    </row>
    <row r="11" spans="1:192" ht="28.5" customHeight="1" x14ac:dyDescent="0.25">
      <c r="A11" s="38" t="s">
        <v>8</v>
      </c>
      <c r="B11" s="40" t="s">
        <v>29</v>
      </c>
      <c r="C11" s="39" t="s">
        <v>2</v>
      </c>
      <c r="G11" s="37"/>
      <c r="H11" s="7"/>
      <c r="I11" s="8" t="s">
        <v>35</v>
      </c>
      <c r="J11" s="23"/>
      <c r="K11" s="10"/>
      <c r="L11" s="11"/>
      <c r="S11" s="12" t="str">
        <f>IF(AND($B11="Muito Alto",$C11="Muito Alto"),"6MuMu","")</f>
        <v/>
      </c>
      <c r="T11" s="12" t="str">
        <f t="shared" si="0"/>
        <v/>
      </c>
      <c r="U11" s="12" t="str">
        <f>IFERROR(INDEX($S$6:$S$10,_xlfn.AGGREGATE(15,6,ROW($S$6:$S$10)/($S$6:$S$10&lt;&gt;""),ROW(#REF!))-5),"")</f>
        <v/>
      </c>
      <c r="V11" s="12" t="str">
        <f t="shared" si="25"/>
        <v/>
      </c>
      <c r="X11" s="12" t="str">
        <f>IF(AND($B11="Muito Alto",$C11="Alto"),"6MuAl","")</f>
        <v/>
      </c>
      <c r="Y11" s="12" t="str">
        <f t="shared" si="1"/>
        <v/>
      </c>
      <c r="Z11" s="12" t="str">
        <f>IFERROR(INDEX($X$6:$X$30,_xlfn.AGGREGATE(15,6,ROW($X$6:$X$30)/($X$6:$X$30&lt;&gt;""),ROW(#REF!))-5),"")</f>
        <v/>
      </c>
      <c r="AA11" s="12" t="str">
        <f t="shared" si="26"/>
        <v/>
      </c>
      <c r="AC11" s="12" t="str">
        <f>IF(AND($B11="Muito Alto",$C11="Moderado"),"6MuMo","")</f>
        <v/>
      </c>
      <c r="AD11" s="12" t="str">
        <f t="shared" si="2"/>
        <v/>
      </c>
      <c r="AE11" s="12" t="str">
        <f>IFERROR(INDEX($AC$6:$AC$30,_xlfn.AGGREGATE(15,6,ROW($AC$6:$AC$30)/($AC$6:$AC$30&lt;&gt;""),ROW(#REF!))-5),"")</f>
        <v/>
      </c>
      <c r="AF11" s="12" t="str">
        <f t="shared" si="27"/>
        <v/>
      </c>
      <c r="AH11" s="17" t="str">
        <f>IF(AND($B11="Muito Alto",$C11="Baixo"),"6MuBa","")</f>
        <v/>
      </c>
      <c r="AI11" s="12" t="str">
        <f t="shared" si="3"/>
        <v/>
      </c>
      <c r="AJ11" s="12" t="str">
        <f>IFERROR(INDEX($AH$6:$AH$30,_xlfn.AGGREGATE(15,6,ROW($AH$6:$AH$30)/($AH$6:$AH$30&lt;&gt;""),ROW(#REF!))-5),"")</f>
        <v/>
      </c>
      <c r="AK11" s="12" t="str">
        <f t="shared" si="28"/>
        <v/>
      </c>
      <c r="AM11" s="12" t="str">
        <f>IF(AND($B11="Muito Alto",$C11="Desprezível"),"6MuDe","")</f>
        <v/>
      </c>
      <c r="AN11" s="12" t="str">
        <f t="shared" si="4"/>
        <v/>
      </c>
      <c r="AO11" s="12" t="str">
        <f>IFERROR(INDEX($AM$6:$AM$30,_xlfn.AGGREGATE(15,6,ROW($AM$6:$AM$30)/($AM$6:$AM$30&lt;&gt;""),ROW(#REF!))-5),"")</f>
        <v/>
      </c>
      <c r="AP11" s="12" t="str">
        <f t="shared" si="29"/>
        <v/>
      </c>
      <c r="AR11" s="13" t="str">
        <f>IF(AND($B11="Alto",$C11="Muito Alto"),"6AlMu","")</f>
        <v>6AlMu</v>
      </c>
      <c r="AS11" s="13" t="str">
        <f t="shared" si="5"/>
        <v/>
      </c>
      <c r="AT11" s="13" t="str">
        <f>IFERROR(INDEX($AR$6:$AR$10,_xlfn.AGGREGATE(15,6,ROW($AR$6:$AR$10)/($AR$6:$AR$10&lt;&gt;""),ROW(#REF!))-5),"")</f>
        <v/>
      </c>
      <c r="AU11" s="13" t="str">
        <f t="shared" si="30"/>
        <v/>
      </c>
      <c r="AW11" s="13" t="str">
        <f>IF(AND($B11="Alto",$C11="Alto"),"6AlAl","")</f>
        <v/>
      </c>
      <c r="AX11" s="13" t="str">
        <f t="shared" si="6"/>
        <v/>
      </c>
      <c r="AY11" s="13" t="str">
        <f>IFERROR(INDEX($AW$6:$AW$30,_xlfn.AGGREGATE(15,6,ROW($AW$6:$AW$30)/($AW$6:$AW$30&lt;&gt;""),ROW(#REF!))-5),"")</f>
        <v/>
      </c>
      <c r="AZ11" s="13" t="str">
        <f t="shared" si="31"/>
        <v/>
      </c>
      <c r="BB11" s="13" t="str">
        <f>IF(AND($B11="Alto",$C11="Moderado"),"6AlMo","")</f>
        <v/>
      </c>
      <c r="BC11" s="13" t="str">
        <f t="shared" si="7"/>
        <v/>
      </c>
      <c r="BD11" s="13" t="str">
        <f>IFERROR(INDEX($BB$6:$BB$30,_xlfn.AGGREGATE(15,6,ROW($BB$6:$BB$30)/($BB$6:$BB$30&lt;&gt;""),ROW(#REF!))-5),"")</f>
        <v/>
      </c>
      <c r="BE11" s="13" t="str">
        <f t="shared" si="32"/>
        <v/>
      </c>
      <c r="BG11" s="13" t="str">
        <f>IF(AND($B11="Alto",$C11="Baixo"),"6AlBa","")</f>
        <v/>
      </c>
      <c r="BH11" s="13" t="str">
        <f t="shared" si="8"/>
        <v/>
      </c>
      <c r="BI11" s="13" t="str">
        <f>IFERROR(INDEX($BG$6:$BG$30,_xlfn.AGGREGATE(15,6,ROW($BG$6:$BG$30)/($BG$6:$BG$30&lt;&gt;""),ROW(#REF!))-5),"")</f>
        <v/>
      </c>
      <c r="BJ11" s="13" t="str">
        <f t="shared" si="33"/>
        <v/>
      </c>
      <c r="BL11" s="13" t="str">
        <f>IF(AND($B11="Alto",$C11="Desprezível"),"6AlDe","")</f>
        <v/>
      </c>
      <c r="BM11" s="13" t="str">
        <f t="shared" si="9"/>
        <v/>
      </c>
      <c r="BN11" s="13" t="str">
        <f>IFERROR(INDEX($BL$6:$BL$30,_xlfn.AGGREGATE(15,6,ROW($BL$6:$BL$30)/($BL$6:$BL$30&lt;&gt;""),ROW(#REF!))-5),"")</f>
        <v/>
      </c>
      <c r="BO11" s="13" t="str">
        <f t="shared" si="34"/>
        <v/>
      </c>
      <c r="BQ11" s="14" t="str">
        <f>IF(AND($B11="Moderado",$C11="Muito Alto"),"6MoMu","")</f>
        <v/>
      </c>
      <c r="BR11" s="14" t="str">
        <f t="shared" si="10"/>
        <v/>
      </c>
      <c r="BS11" s="14" t="str">
        <f>IFERROR(INDEX($BQ$6:$BQ$10,_xlfn.AGGREGATE(15,6,ROW($BQ$6:$BQ$10)/($BQ$6:$BQ$10&lt;&gt;""),ROW(#REF!))-5),"")</f>
        <v/>
      </c>
      <c r="BT11" s="14" t="str">
        <f t="shared" si="35"/>
        <v/>
      </c>
      <c r="BV11" s="14" t="str">
        <f>IF(AND($B11="Moderado",$C11="Alto"),"6MoAl","")</f>
        <v/>
      </c>
      <c r="BW11" s="14" t="str">
        <f t="shared" si="11"/>
        <v/>
      </c>
      <c r="BX11" s="14" t="str">
        <f>IFERROR(INDEX($BV$6:$BV$30,_xlfn.AGGREGATE(15,6,ROW($BV$6:$BV$30)/($BV$6:$BV$30&lt;&gt;""),ROW(#REF!))-5),"")</f>
        <v/>
      </c>
      <c r="BY11" s="14" t="str">
        <f t="shared" si="36"/>
        <v/>
      </c>
      <c r="CA11" s="14" t="str">
        <f>IF(AND($B11="Moderado",$C11="Moderado"),"6MoMo","")</f>
        <v/>
      </c>
      <c r="CB11" s="14" t="str">
        <f t="shared" si="12"/>
        <v/>
      </c>
      <c r="CC11" s="14" t="str">
        <f>IFERROR(INDEX($CA$6:$CA$30,_xlfn.AGGREGATE(15,6,ROW($CA$6:$CA$30)/($CA$6:$CA$30&lt;&gt;""),ROW(#REF!))-5),"")</f>
        <v/>
      </c>
      <c r="CD11" s="14" t="str">
        <f t="shared" si="37"/>
        <v/>
      </c>
      <c r="CF11" s="14" t="str">
        <f>IF(AND($B11="Moderado",$C11="Baixo"),"6MoBa","")</f>
        <v/>
      </c>
      <c r="CG11" s="14" t="str">
        <f t="shared" si="13"/>
        <v/>
      </c>
      <c r="CH11" s="14" t="str">
        <f>IFERROR(INDEX($CF$6:$CF$30,_xlfn.AGGREGATE(15,6,ROW($CF$6:$CF$30)/($CF$6:$CF$30&lt;&gt;""),ROW(#REF!))-5),"")</f>
        <v/>
      </c>
      <c r="CI11" s="14" t="str">
        <f t="shared" si="38"/>
        <v/>
      </c>
      <c r="CK11" s="14" t="str">
        <f>IF(AND($B11="Moderado",$C11="Desprezível"),"6MoDe","")</f>
        <v/>
      </c>
      <c r="CL11" s="14" t="str">
        <f t="shared" si="14"/>
        <v/>
      </c>
      <c r="CM11" s="14" t="str">
        <f>IFERROR(INDEX($CK$6:$CK$30,_xlfn.AGGREGATE(15,6,ROW($CK$6:$CK$30)/($CK$6:$CK$30&lt;&gt;""),ROW(#REF!))-5),"")</f>
        <v/>
      </c>
      <c r="CN11" s="14" t="str">
        <f t="shared" si="39"/>
        <v/>
      </c>
      <c r="CP11" s="15" t="str">
        <f>IF(AND($B11="Baixo",$C11="Muito Alto"),"6BaMu","")</f>
        <v/>
      </c>
      <c r="CQ11" s="15" t="str">
        <f t="shared" si="15"/>
        <v/>
      </c>
      <c r="CR11" s="15" t="str">
        <f>IFERROR(INDEX($CP$6:$CP$30,_xlfn.AGGREGATE(15,6,ROW($CP$6:$CP$30)/($CP$6:$CP$30&lt;&gt;""),ROW(#REF!))-5),"")</f>
        <v/>
      </c>
      <c r="CS11" s="15" t="str">
        <f t="shared" si="40"/>
        <v/>
      </c>
      <c r="CU11" s="15" t="str">
        <f>IF(AND($B11="Baixo",$C11="Alto"),"6BaAl","")</f>
        <v/>
      </c>
      <c r="CV11" s="15" t="str">
        <f t="shared" si="16"/>
        <v/>
      </c>
      <c r="CW11" s="15" t="str">
        <f>IFERROR(INDEX($CU$6:$CU$30,_xlfn.AGGREGATE(15,6,ROW($CU$6:$CU$30)/($CU$6:$CU$30&lt;&gt;""),ROW(#REF!))-5),"")</f>
        <v/>
      </c>
      <c r="CX11" s="15" t="str">
        <f t="shared" si="41"/>
        <v/>
      </c>
      <c r="CZ11" s="15" t="str">
        <f>IF(AND($B11="Baixo",$C11="Moderado"),"6BaMo","")</f>
        <v/>
      </c>
      <c r="DA11" s="15" t="str">
        <f t="shared" si="17"/>
        <v/>
      </c>
      <c r="DB11" s="15" t="str">
        <f>IFERROR(INDEX($CZ$6:$CZ$30,_xlfn.AGGREGATE(15,6,ROW($CZ$6:$CZ$30)/($CZ$6:$CZ$30&lt;&gt;""),ROW(#REF!))-5),"")</f>
        <v/>
      </c>
      <c r="DC11" s="15" t="str">
        <f t="shared" si="42"/>
        <v/>
      </c>
      <c r="DE11" s="15" t="str">
        <f>IF(AND($B11="Baixo",$C11="Baixo"),"6BaBa","")</f>
        <v/>
      </c>
      <c r="DF11" s="15" t="str">
        <f t="shared" si="18"/>
        <v/>
      </c>
      <c r="DG11" s="15" t="str">
        <f>IFERROR(INDEX($DE$6:$DE$30,_xlfn.AGGREGATE(15,6,ROW($DE$6:$DE$30)/($DE$6:$DE$30&lt;&gt;""),ROW(#REF!))-5),"")</f>
        <v/>
      </c>
      <c r="DH11" s="15" t="str">
        <f t="shared" si="43"/>
        <v/>
      </c>
      <c r="DJ11" s="15" t="str">
        <f>IF(AND($B11="Baixo",$C11="Desprezível"),"6BaDe","")</f>
        <v/>
      </c>
      <c r="DK11" s="15" t="str">
        <f t="shared" si="19"/>
        <v/>
      </c>
      <c r="DL11" s="15" t="str">
        <f>IFERROR(INDEX($DJ$6:$DJ$30,_xlfn.AGGREGATE(15,6,ROW($DJ$6:$DJ$30)/($DJ$6:$DJ$30&lt;&gt;""),ROW(#REF!))-5),"")</f>
        <v/>
      </c>
      <c r="DM11" s="15" t="str">
        <f t="shared" si="44"/>
        <v/>
      </c>
      <c r="DO11" s="16" t="str">
        <f>IF(AND($B11="Desprezível",$C11="Muito Alto"),"6DeMu","")</f>
        <v/>
      </c>
      <c r="DP11" s="16" t="str">
        <f t="shared" si="20"/>
        <v/>
      </c>
      <c r="DQ11" s="16" t="str">
        <f>IFERROR(INDEX($DO$6:$DO$10,_xlfn.AGGREGATE(15,6,ROW($DO$6:$DO$10)/($DO$6:$DO$10&lt;&gt;""),ROW(#REF!))-5),"")</f>
        <v/>
      </c>
      <c r="DR11" s="16" t="str">
        <f t="shared" si="45"/>
        <v/>
      </c>
      <c r="DT11" s="16" t="str">
        <f>IF(AND($B11="Desprezível",$C11="Alto"),"6DeAl","")</f>
        <v/>
      </c>
      <c r="DU11" s="16" t="str">
        <f t="shared" si="21"/>
        <v/>
      </c>
      <c r="DV11" s="16" t="str">
        <f>IFERROR(INDEX($DT$6:$DT$30,_xlfn.AGGREGATE(15,6,ROW($DT$6:$DT$30)/($DT$6:$DT$30&lt;&gt;""),ROW(#REF!))-5),"")</f>
        <v/>
      </c>
      <c r="DW11" s="16" t="str">
        <f t="shared" si="46"/>
        <v/>
      </c>
      <c r="DY11" s="16" t="str">
        <f>IF(AND($B11="Desprezível",$C11="Moderado"),"6DeMo","")</f>
        <v/>
      </c>
      <c r="DZ11" s="16" t="str">
        <f t="shared" si="22"/>
        <v/>
      </c>
      <c r="EA11" s="16" t="str">
        <f>IFERROR(INDEX($DY$6:$DY$30,_xlfn.AGGREGATE(15,6,ROW($DY$6:$DY$30)/($DY$6:$DY$30&lt;&gt;""),ROW(#REF!))-5),"")</f>
        <v/>
      </c>
      <c r="EB11" s="16" t="str">
        <f t="shared" si="47"/>
        <v/>
      </c>
      <c r="ED11" s="16" t="str">
        <f>IF(AND($B11="Desprezível",$C11="Baixo"),"6DeBa","")</f>
        <v/>
      </c>
      <c r="EE11" s="16" t="str">
        <f t="shared" si="23"/>
        <v/>
      </c>
      <c r="EF11" s="16" t="str">
        <f>IFERROR(INDEX($ED$6:$ED$30,_xlfn.AGGREGATE(15,6,ROW($ED$6:$ED$30)/($ED$6:$ED$30&lt;&gt;""),ROW(#REF!))-5),"")</f>
        <v/>
      </c>
      <c r="EG11" s="16" t="str">
        <f t="shared" si="48"/>
        <v/>
      </c>
      <c r="EI11" s="16" t="str">
        <f>IF(AND($B11="Desprezível",$C11="Desprezível"),"6DeDe","")</f>
        <v/>
      </c>
      <c r="EJ11" s="16" t="str">
        <f t="shared" si="24"/>
        <v/>
      </c>
      <c r="EK11" s="16" t="str">
        <f>IFERROR(INDEX($EI$6:$EI$30,_xlfn.AGGREGATE(15,6,ROW($EI$6:$EI$30)/($EI$6:$EI$30&lt;&gt;""),ROW(#REF!))-5),"")</f>
        <v/>
      </c>
      <c r="EL11" s="16" t="str">
        <f t="shared" si="49"/>
        <v/>
      </c>
      <c r="GF11" s="1"/>
      <c r="GG11" s="1"/>
      <c r="GH11" s="1"/>
      <c r="GI11" s="1"/>
      <c r="GJ11" s="1"/>
    </row>
    <row r="12" spans="1:192" ht="28.5" customHeight="1" x14ac:dyDescent="0.25">
      <c r="A12" s="38" t="s">
        <v>9</v>
      </c>
      <c r="B12" s="40" t="s">
        <v>29</v>
      </c>
      <c r="C12" s="40" t="s">
        <v>29</v>
      </c>
      <c r="G12" s="37"/>
      <c r="H12" s="7"/>
      <c r="I12" s="8"/>
      <c r="J12" s="23"/>
      <c r="K12" s="10"/>
      <c r="L12" s="11"/>
      <c r="S12" s="12" t="str">
        <f>IF(AND($B12="Muito Alto",$C12="Muito Alto"),"7MuMu","")</f>
        <v/>
      </c>
      <c r="T12" s="12" t="str">
        <f t="shared" si="0"/>
        <v/>
      </c>
      <c r="U12" s="12" t="str">
        <f>IFERROR(INDEX($S$6:$S$10,_xlfn.AGGREGATE(15,6,ROW($S$6:$S$10)/($S$6:$S$10&lt;&gt;""),ROW(#REF!))-5),"")</f>
        <v/>
      </c>
      <c r="V12" s="12" t="str">
        <f t="shared" si="25"/>
        <v/>
      </c>
      <c r="X12" s="12" t="str">
        <f>IF(AND($B12="Muito Alto",$C12="Alto"),"7MuAl","")</f>
        <v/>
      </c>
      <c r="Y12" s="12" t="str">
        <f t="shared" si="1"/>
        <v/>
      </c>
      <c r="Z12" s="12" t="str">
        <f>IFERROR(INDEX($X$6:$X$30,_xlfn.AGGREGATE(15,6,ROW($X$6:$X$30)/($X$6:$X$30&lt;&gt;""),ROW(#REF!))-5),"")</f>
        <v/>
      </c>
      <c r="AA12" s="12" t="str">
        <f t="shared" si="26"/>
        <v/>
      </c>
      <c r="AC12" s="12" t="str">
        <f>IF(AND($B12="Muito Alto",$C12="Moderado"),"7MuMo","")</f>
        <v/>
      </c>
      <c r="AD12" s="12" t="str">
        <f t="shared" si="2"/>
        <v/>
      </c>
      <c r="AE12" s="12" t="str">
        <f>IFERROR(INDEX($AC$6:$AC$30,_xlfn.AGGREGATE(15,6,ROW($AC$6:$AC$30)/($AC$6:$AC$30&lt;&gt;""),ROW(#REF!))-5),"")</f>
        <v/>
      </c>
      <c r="AF12" s="12" t="str">
        <f t="shared" si="27"/>
        <v/>
      </c>
      <c r="AH12" s="17" t="str">
        <f>IF(AND($B12="Muito Alto",$C12="Baixo"),"7MuBa","")</f>
        <v/>
      </c>
      <c r="AI12" s="12" t="str">
        <f t="shared" si="3"/>
        <v/>
      </c>
      <c r="AJ12" s="12" t="str">
        <f>IFERROR(INDEX($AH$6:$AH$30,_xlfn.AGGREGATE(15,6,ROW($AH$6:$AH$30)/($AH$6:$AH$30&lt;&gt;""),ROW(#REF!))-5),"")</f>
        <v/>
      </c>
      <c r="AK12" s="12" t="str">
        <f t="shared" si="28"/>
        <v/>
      </c>
      <c r="AM12" s="12" t="str">
        <f>IF(AND($B12="Muito Alto",$C12="Desprezível"),"7MuDe","")</f>
        <v/>
      </c>
      <c r="AN12" s="12" t="str">
        <f t="shared" si="4"/>
        <v/>
      </c>
      <c r="AO12" s="12" t="str">
        <f>IFERROR(INDEX($AM$6:$AM$30,_xlfn.AGGREGATE(15,6,ROW($AM$6:$AM$30)/($AM$6:$AM$30&lt;&gt;""),ROW(#REF!))-5),"")</f>
        <v/>
      </c>
      <c r="AP12" s="12" t="str">
        <f t="shared" si="29"/>
        <v/>
      </c>
      <c r="AR12" s="13" t="str">
        <f>IF(AND($B12="Alto",$C12="Muito Alto"),"7AlMu","")</f>
        <v/>
      </c>
      <c r="AS12" s="13" t="str">
        <f t="shared" si="5"/>
        <v/>
      </c>
      <c r="AT12" s="13" t="str">
        <f>IFERROR(INDEX($AR$6:$AR$10,_xlfn.AGGREGATE(15,6,ROW($AR$6:$AR$10)/($AR$6:$AR$10&lt;&gt;""),ROW(#REF!))-5),"")</f>
        <v/>
      </c>
      <c r="AU12" s="13" t="str">
        <f t="shared" si="30"/>
        <v/>
      </c>
      <c r="AW12" s="13" t="str">
        <f>IF(AND($B12="Alto",$C12="Alto"),"7AlAl","")</f>
        <v>7AlAl</v>
      </c>
      <c r="AX12" s="13" t="str">
        <f t="shared" si="6"/>
        <v/>
      </c>
      <c r="AY12" s="13" t="str">
        <f>IFERROR(INDEX($AW$6:$AW$30,_xlfn.AGGREGATE(15,6,ROW($AW$6:$AW$30)/($AW$6:$AW$30&lt;&gt;""),ROW(#REF!))-5),"")</f>
        <v/>
      </c>
      <c r="AZ12" s="13" t="str">
        <f t="shared" si="31"/>
        <v/>
      </c>
      <c r="BB12" s="13" t="str">
        <f>IF(AND($B12="Alto",$C12="Moderado"),"7AlMo","")</f>
        <v/>
      </c>
      <c r="BC12" s="13" t="str">
        <f t="shared" si="7"/>
        <v/>
      </c>
      <c r="BD12" s="13" t="str">
        <f>IFERROR(INDEX($BB$6:$BB$30,_xlfn.AGGREGATE(15,6,ROW($BB$6:$BB$30)/($BB$6:$BB$30&lt;&gt;""),ROW(#REF!))-5),"")</f>
        <v/>
      </c>
      <c r="BE12" s="13" t="str">
        <f t="shared" si="32"/>
        <v/>
      </c>
      <c r="BG12" s="13" t="str">
        <f>IF(AND($B12="Alto",$C12="Baixo"),"7AlBa","")</f>
        <v/>
      </c>
      <c r="BH12" s="13" t="str">
        <f t="shared" si="8"/>
        <v/>
      </c>
      <c r="BI12" s="13" t="str">
        <f>IFERROR(INDEX($BG$6:$BG$30,_xlfn.AGGREGATE(15,6,ROW($BG$6:$BG$30)/($BG$6:$BG$30&lt;&gt;""),ROW(#REF!))-5),"")</f>
        <v/>
      </c>
      <c r="BJ12" s="13" t="str">
        <f t="shared" si="33"/>
        <v/>
      </c>
      <c r="BL12" s="13" t="str">
        <f>IF(AND($B12="Alto",$C12="Desprezível"),"7AlDe","")</f>
        <v/>
      </c>
      <c r="BM12" s="13" t="str">
        <f t="shared" si="9"/>
        <v/>
      </c>
      <c r="BN12" s="13" t="str">
        <f>IFERROR(INDEX($BL$6:$BL$30,_xlfn.AGGREGATE(15,6,ROW($BL$6:$BL$30)/($BL$6:$BL$30&lt;&gt;""),ROW(#REF!))-5),"")</f>
        <v/>
      </c>
      <c r="BO12" s="13" t="str">
        <f t="shared" si="34"/>
        <v/>
      </c>
      <c r="BQ12" s="14" t="str">
        <f>IF(AND($B12="Moderado",$C12="Muito Alto"),"7MoMu","")</f>
        <v/>
      </c>
      <c r="BR12" s="14" t="str">
        <f t="shared" si="10"/>
        <v/>
      </c>
      <c r="BS12" s="14" t="str">
        <f>IFERROR(INDEX($BQ$6:$BQ$10,_xlfn.AGGREGATE(15,6,ROW($BQ$6:$BQ$10)/($BQ$6:$BQ$10&lt;&gt;""),ROW(#REF!))-5),"")</f>
        <v/>
      </c>
      <c r="BT12" s="14" t="str">
        <f t="shared" si="35"/>
        <v/>
      </c>
      <c r="BV12" s="14" t="str">
        <f>IF(AND($B12="Moderado",$C12="Alto"),"7MoAl","")</f>
        <v/>
      </c>
      <c r="BW12" s="14" t="str">
        <f t="shared" si="11"/>
        <v/>
      </c>
      <c r="BX12" s="14" t="str">
        <f>IFERROR(INDEX($BV$6:$BV$30,_xlfn.AGGREGATE(15,6,ROW($BV$6:$BV$30)/($BV$6:$BV$30&lt;&gt;""),ROW(#REF!))-5),"")</f>
        <v/>
      </c>
      <c r="BY12" s="14" t="str">
        <f t="shared" si="36"/>
        <v/>
      </c>
      <c r="CA12" s="14" t="str">
        <f>IF(AND($B12="Moderado",$C12="Moderado"),"7MoMo","")</f>
        <v/>
      </c>
      <c r="CB12" s="14" t="str">
        <f t="shared" si="12"/>
        <v/>
      </c>
      <c r="CC12" s="14" t="str">
        <f>IFERROR(INDEX($CA$6:$CA$30,_xlfn.AGGREGATE(15,6,ROW($CA$6:$CA$30)/($CA$6:$CA$30&lt;&gt;""),ROW(#REF!))-5),"")</f>
        <v/>
      </c>
      <c r="CD12" s="14" t="str">
        <f t="shared" si="37"/>
        <v/>
      </c>
      <c r="CF12" s="14" t="str">
        <f>IF(AND($B12="Moderado",$C12="Baixo"),"7MoBa","")</f>
        <v/>
      </c>
      <c r="CG12" s="14" t="str">
        <f t="shared" si="13"/>
        <v/>
      </c>
      <c r="CH12" s="14" t="str">
        <f>IFERROR(INDEX($CF$6:$CF$30,_xlfn.AGGREGATE(15,6,ROW($CF$6:$CF$30)/($CF$6:$CF$30&lt;&gt;""),ROW(#REF!))-5),"")</f>
        <v/>
      </c>
      <c r="CI12" s="14" t="str">
        <f t="shared" si="38"/>
        <v/>
      </c>
      <c r="CK12" s="14" t="str">
        <f>IF(AND($B12="Moderado",$C12="Desprezível"),"7MoDe","")</f>
        <v/>
      </c>
      <c r="CL12" s="14" t="str">
        <f t="shared" si="14"/>
        <v/>
      </c>
      <c r="CM12" s="14" t="str">
        <f>IFERROR(INDEX($CK$6:$CK$30,_xlfn.AGGREGATE(15,6,ROW($CK$6:$CK$30)/($CK$6:$CK$30&lt;&gt;""),ROW(#REF!))-5),"")</f>
        <v/>
      </c>
      <c r="CN12" s="14" t="str">
        <f t="shared" si="39"/>
        <v/>
      </c>
      <c r="CP12" s="15" t="str">
        <f>IF(AND($B12="Baixo",$C12="Muito Alto"),"7BaMu","")</f>
        <v/>
      </c>
      <c r="CQ12" s="15" t="str">
        <f t="shared" si="15"/>
        <v/>
      </c>
      <c r="CR12" s="15" t="str">
        <f>IFERROR(INDEX($CP$6:$CP$30,_xlfn.AGGREGATE(15,6,ROW($CP$6:$CP$30)/($CP$6:$CP$30&lt;&gt;""),ROW(#REF!))-5),"")</f>
        <v/>
      </c>
      <c r="CS12" s="15" t="str">
        <f t="shared" si="40"/>
        <v/>
      </c>
      <c r="CU12" s="15" t="str">
        <f>IF(AND($B12="Baixo",$C12="Alto"),"7BaAl","")</f>
        <v/>
      </c>
      <c r="CV12" s="15" t="str">
        <f t="shared" si="16"/>
        <v/>
      </c>
      <c r="CW12" s="15" t="str">
        <f>IFERROR(INDEX($CU$6:$CU$30,_xlfn.AGGREGATE(15,6,ROW($CU$6:$CU$30)/($CU$6:$CU$30&lt;&gt;""),ROW(#REF!))-5),"")</f>
        <v/>
      </c>
      <c r="CX12" s="15" t="str">
        <f t="shared" si="41"/>
        <v/>
      </c>
      <c r="CZ12" s="15" t="str">
        <f>IF(AND($B12="Baixo",$C12="Moderado"),"7BaMo","")</f>
        <v/>
      </c>
      <c r="DA12" s="15" t="str">
        <f t="shared" si="17"/>
        <v/>
      </c>
      <c r="DB12" s="15" t="str">
        <f>IFERROR(INDEX($CZ$6:$CZ$30,_xlfn.AGGREGATE(15,6,ROW($CZ$6:$CZ$30)/($CZ$6:$CZ$30&lt;&gt;""),ROW(#REF!))-5),"")</f>
        <v/>
      </c>
      <c r="DC12" s="15" t="str">
        <f t="shared" si="42"/>
        <v/>
      </c>
      <c r="DE12" s="15" t="str">
        <f>IF(AND($B12="Baixo",$C12="Baixo"),"7BaBa","")</f>
        <v/>
      </c>
      <c r="DF12" s="15" t="str">
        <f t="shared" si="18"/>
        <v/>
      </c>
      <c r="DG12" s="15" t="str">
        <f>IFERROR(INDEX($DE$6:$DE$30,_xlfn.AGGREGATE(15,6,ROW($DE$6:$DE$30)/($DE$6:$DE$30&lt;&gt;""),ROW(#REF!))-5),"")</f>
        <v/>
      </c>
      <c r="DH12" s="15" t="str">
        <f t="shared" si="43"/>
        <v/>
      </c>
      <c r="DJ12" s="15" t="str">
        <f>IF(AND($B12="Baixo",$C12="Desprezível"),"7BaDe","")</f>
        <v/>
      </c>
      <c r="DK12" s="15" t="str">
        <f t="shared" si="19"/>
        <v/>
      </c>
      <c r="DL12" s="15" t="str">
        <f>IFERROR(INDEX($DJ$6:$DJ$30,_xlfn.AGGREGATE(15,6,ROW($DJ$6:$DJ$30)/($DJ$6:$DJ$30&lt;&gt;""),ROW(#REF!))-5),"")</f>
        <v/>
      </c>
      <c r="DM12" s="15" t="str">
        <f t="shared" si="44"/>
        <v/>
      </c>
      <c r="DO12" s="16" t="str">
        <f>IF(AND($B12="Desprezível",$C12="Muito Alto"),"7DeMu","")</f>
        <v/>
      </c>
      <c r="DP12" s="16" t="str">
        <f t="shared" si="20"/>
        <v/>
      </c>
      <c r="DQ12" s="16" t="str">
        <f>IFERROR(INDEX($DO$6:$DO$10,_xlfn.AGGREGATE(15,6,ROW($DO$6:$DO$10)/($DO$6:$DO$10&lt;&gt;""),ROW(#REF!))-5),"")</f>
        <v/>
      </c>
      <c r="DR12" s="16" t="str">
        <f t="shared" si="45"/>
        <v/>
      </c>
      <c r="DT12" s="16" t="str">
        <f>IF(AND($B12="Desprezível",$C12="Alto"),"7DeAl","")</f>
        <v/>
      </c>
      <c r="DU12" s="16" t="str">
        <f t="shared" si="21"/>
        <v/>
      </c>
      <c r="DV12" s="16" t="str">
        <f>IFERROR(INDEX($DT$6:$DT$30,_xlfn.AGGREGATE(15,6,ROW($DT$6:$DT$30)/($DT$6:$DT$30&lt;&gt;""),ROW(#REF!))-5),"")</f>
        <v/>
      </c>
      <c r="DW12" s="16" t="str">
        <f t="shared" si="46"/>
        <v/>
      </c>
      <c r="DY12" s="16" t="str">
        <f>IF(AND($B12="Desprezível",$C12="Moderado"),"7DeMo","")</f>
        <v/>
      </c>
      <c r="DZ12" s="16" t="str">
        <f t="shared" si="22"/>
        <v/>
      </c>
      <c r="EA12" s="16" t="str">
        <f>IFERROR(INDEX($DY$6:$DY$30,_xlfn.AGGREGATE(15,6,ROW($DY$6:$DY$30)/($DY$6:$DY$30&lt;&gt;""),ROW(#REF!))-5),"")</f>
        <v/>
      </c>
      <c r="EB12" s="16" t="str">
        <f t="shared" si="47"/>
        <v/>
      </c>
      <c r="ED12" s="16" t="str">
        <f>IF(AND($B12="Desprezível",$C12="Baixo"),"7DeBa","")</f>
        <v/>
      </c>
      <c r="EE12" s="16" t="str">
        <f t="shared" si="23"/>
        <v/>
      </c>
      <c r="EF12" s="16" t="str">
        <f>IFERROR(INDEX($ED$6:$ED$30,_xlfn.AGGREGATE(15,6,ROW($ED$6:$ED$30)/($ED$6:$ED$30&lt;&gt;""),ROW(#REF!))-5),"")</f>
        <v/>
      </c>
      <c r="EG12" s="16" t="str">
        <f t="shared" si="48"/>
        <v/>
      </c>
      <c r="EI12" s="16" t="str">
        <f>IF(AND($B12="Desprezível",$C12="Desprezível"),"7DeDe","")</f>
        <v/>
      </c>
      <c r="EJ12" s="16" t="str">
        <f t="shared" si="24"/>
        <v/>
      </c>
      <c r="EK12" s="16" t="str">
        <f>IFERROR(INDEX($EI$6:$EI$30,_xlfn.AGGREGATE(15,6,ROW($EI$6:$EI$30)/($EI$6:$EI$30&lt;&gt;""),ROW(#REF!))-5),"")</f>
        <v/>
      </c>
      <c r="EL12" s="16" t="str">
        <f t="shared" si="49"/>
        <v/>
      </c>
      <c r="GF12" s="1"/>
      <c r="GG12" s="1"/>
      <c r="GH12" s="1"/>
      <c r="GI12" s="1"/>
      <c r="GJ12" s="1"/>
    </row>
    <row r="13" spans="1:192" ht="28.5" customHeight="1" x14ac:dyDescent="0.25">
      <c r="A13" s="38" t="s">
        <v>10</v>
      </c>
      <c r="B13" s="40" t="s">
        <v>29</v>
      </c>
      <c r="C13" s="40" t="s">
        <v>30</v>
      </c>
      <c r="G13" s="37"/>
      <c r="H13" s="7"/>
      <c r="I13" s="8"/>
      <c r="J13" s="23"/>
      <c r="K13" s="10"/>
      <c r="L13" s="11"/>
      <c r="S13" s="12" t="str">
        <f>IF(AND($B13="Muito Alto",$C13="Muito Alto"),"8MuMu","")</f>
        <v/>
      </c>
      <c r="T13" s="12" t="str">
        <f t="shared" si="0"/>
        <v/>
      </c>
      <c r="U13" s="12" t="str">
        <f>IFERROR(INDEX($S$6:$S$10,_xlfn.AGGREGATE(15,6,ROW($S$6:$S$10)/($S$6:$S$10&lt;&gt;""),ROW(#REF!))-5),"")</f>
        <v/>
      </c>
      <c r="V13" s="12" t="str">
        <f t="shared" si="25"/>
        <v/>
      </c>
      <c r="X13" s="12" t="str">
        <f>IF(AND($B13="Muito Alto",$C13="Alto"),"8MuAl","")</f>
        <v/>
      </c>
      <c r="Y13" s="12" t="str">
        <f t="shared" si="1"/>
        <v/>
      </c>
      <c r="Z13" s="12" t="str">
        <f>IFERROR(INDEX($X$6:$X$30,_xlfn.AGGREGATE(15,6,ROW($X$6:$X$30)/($X$6:$X$30&lt;&gt;""),ROW(#REF!))-5),"")</f>
        <v/>
      </c>
      <c r="AA13" s="12" t="str">
        <f t="shared" si="26"/>
        <v/>
      </c>
      <c r="AC13" s="12" t="str">
        <f>IF(AND($B13="Muito Alto",$C13="Moderado"),"8MuMo","")</f>
        <v/>
      </c>
      <c r="AD13" s="12" t="str">
        <f t="shared" si="2"/>
        <v/>
      </c>
      <c r="AE13" s="12" t="str">
        <f>IFERROR(INDEX($AC$6:$AC$30,_xlfn.AGGREGATE(15,6,ROW($AC$6:$AC$30)/($AC$6:$AC$30&lt;&gt;""),ROW(#REF!))-5),"")</f>
        <v/>
      </c>
      <c r="AF13" s="12" t="str">
        <f t="shared" si="27"/>
        <v/>
      </c>
      <c r="AH13" s="17" t="str">
        <f>IF(AND($B13="Muito Alto",$C13="Baixo"),"8MuBa","")</f>
        <v/>
      </c>
      <c r="AI13" s="12" t="str">
        <f t="shared" si="3"/>
        <v/>
      </c>
      <c r="AJ13" s="12" t="str">
        <f>IFERROR(INDEX($AH$6:$AH$30,_xlfn.AGGREGATE(15,6,ROW($AH$6:$AH$30)/($AH$6:$AH$30&lt;&gt;""),ROW(#REF!))-5),"")</f>
        <v/>
      </c>
      <c r="AK13" s="12" t="str">
        <f t="shared" si="28"/>
        <v/>
      </c>
      <c r="AM13" s="12" t="str">
        <f>IF(AND($B13="Muito Alto",$C13="Desprezível"),"8MuDe","")</f>
        <v/>
      </c>
      <c r="AN13" s="12" t="str">
        <f t="shared" si="4"/>
        <v/>
      </c>
      <c r="AO13" s="12" t="str">
        <f>IFERROR(INDEX($AM$6:$AM$30,_xlfn.AGGREGATE(15,6,ROW($AM$6:$AM$30)/($AM$6:$AM$30&lt;&gt;""),ROW(#REF!))-5),"")</f>
        <v/>
      </c>
      <c r="AP13" s="12" t="str">
        <f t="shared" si="29"/>
        <v/>
      </c>
      <c r="AR13" s="13" t="str">
        <f>IF(AND($B13="Alto",$C13="Muito Alto"),"8AlMu","")</f>
        <v/>
      </c>
      <c r="AS13" s="13" t="str">
        <f t="shared" si="5"/>
        <v/>
      </c>
      <c r="AT13" s="13" t="str">
        <f>IFERROR(INDEX($AR$6:$AR$10,_xlfn.AGGREGATE(15,6,ROW($AR$6:$AR$10)/($AR$6:$AR$10&lt;&gt;""),ROW(#REF!))-5),"")</f>
        <v/>
      </c>
      <c r="AU13" s="13" t="str">
        <f t="shared" si="30"/>
        <v/>
      </c>
      <c r="AW13" s="13" t="str">
        <f>IF(AND($B13="Alto",$C13="Alto"),"8AlAl","")</f>
        <v/>
      </c>
      <c r="AX13" s="13" t="str">
        <f t="shared" si="6"/>
        <v/>
      </c>
      <c r="AY13" s="13" t="str">
        <f>IFERROR(INDEX($AW$6:$AW$30,_xlfn.AGGREGATE(15,6,ROW($AW$6:$AW$30)/($AW$6:$AW$30&lt;&gt;""),ROW(#REF!))-5),"")</f>
        <v/>
      </c>
      <c r="AZ13" s="13" t="str">
        <f t="shared" si="31"/>
        <v/>
      </c>
      <c r="BB13" s="13" t="str">
        <f>IF(AND($B13="Alto",$C13="Moderado"),"8AlMo","")</f>
        <v>8AlMo</v>
      </c>
      <c r="BC13" s="13" t="str">
        <f t="shared" si="7"/>
        <v/>
      </c>
      <c r="BD13" s="13" t="str">
        <f>IFERROR(INDEX($BB$6:$BB$30,_xlfn.AGGREGATE(15,6,ROW($BB$6:$BB$30)/($BB$6:$BB$30&lt;&gt;""),ROW(#REF!))-5),"")</f>
        <v/>
      </c>
      <c r="BE13" s="13" t="str">
        <f t="shared" si="32"/>
        <v/>
      </c>
      <c r="BG13" s="13" t="str">
        <f>IF(AND($B13="Alto",$C13="Baixo"),"8AlBa","")</f>
        <v/>
      </c>
      <c r="BH13" s="13" t="str">
        <f t="shared" si="8"/>
        <v/>
      </c>
      <c r="BI13" s="13" t="str">
        <f>IFERROR(INDEX($BG$6:$BG$30,_xlfn.AGGREGATE(15,6,ROW($BG$6:$BG$30)/($BG$6:$BG$30&lt;&gt;""),ROW(#REF!))-5),"")</f>
        <v/>
      </c>
      <c r="BJ13" s="13" t="str">
        <f t="shared" si="33"/>
        <v/>
      </c>
      <c r="BL13" s="13" t="str">
        <f>IF(AND($B13="Alto",$C13="Desprezível"),"8AlDe","")</f>
        <v/>
      </c>
      <c r="BM13" s="13" t="str">
        <f t="shared" si="9"/>
        <v/>
      </c>
      <c r="BN13" s="13" t="str">
        <f>IFERROR(INDEX($BL$6:$BL$30,_xlfn.AGGREGATE(15,6,ROW($BL$6:$BL$30)/($BL$6:$BL$30&lt;&gt;""),ROW(#REF!))-5),"")</f>
        <v/>
      </c>
      <c r="BO13" s="13" t="str">
        <f t="shared" si="34"/>
        <v/>
      </c>
      <c r="BQ13" s="14" t="str">
        <f>IF(AND($B13="Moderado",$C13="Muito Alto"),"8MoMu","")</f>
        <v/>
      </c>
      <c r="BR13" s="14" t="str">
        <f t="shared" si="10"/>
        <v/>
      </c>
      <c r="BS13" s="14" t="str">
        <f>IFERROR(INDEX($BQ$6:$BQ$10,_xlfn.AGGREGATE(15,6,ROW($BQ$6:$BQ$10)/($BQ$6:$BQ$10&lt;&gt;""),ROW(#REF!))-5),"")</f>
        <v/>
      </c>
      <c r="BT13" s="14" t="str">
        <f t="shared" si="35"/>
        <v/>
      </c>
      <c r="BV13" s="14" t="str">
        <f>IF(AND($B13="Moderado",$C13="Alto"),"8MoAl","")</f>
        <v/>
      </c>
      <c r="BW13" s="14" t="str">
        <f t="shared" si="11"/>
        <v/>
      </c>
      <c r="BX13" s="14" t="str">
        <f>IFERROR(INDEX($BV$6:$BV$30,_xlfn.AGGREGATE(15,6,ROW($BV$6:$BV$30)/($BV$6:$BV$30&lt;&gt;""),ROW(#REF!))-5),"")</f>
        <v/>
      </c>
      <c r="BY13" s="14" t="str">
        <f t="shared" si="36"/>
        <v/>
      </c>
      <c r="CA13" s="14" t="str">
        <f>IF(AND($B13="Moderado",$C13="Moderado"),"8MoMo","")</f>
        <v/>
      </c>
      <c r="CB13" s="14" t="str">
        <f t="shared" si="12"/>
        <v/>
      </c>
      <c r="CC13" s="14" t="str">
        <f>IFERROR(INDEX($CA$6:$CA$30,_xlfn.AGGREGATE(15,6,ROW($CA$6:$CA$30)/($CA$6:$CA$30&lt;&gt;""),ROW(#REF!))-5),"")</f>
        <v/>
      </c>
      <c r="CD13" s="14" t="str">
        <f t="shared" si="37"/>
        <v/>
      </c>
      <c r="CF13" s="14" t="str">
        <f>IF(AND($B13="Moderado",$C13="Baixo"),"8MoBa","")</f>
        <v/>
      </c>
      <c r="CG13" s="14" t="str">
        <f t="shared" si="13"/>
        <v/>
      </c>
      <c r="CH13" s="14" t="str">
        <f>IFERROR(INDEX($CF$6:$CF$30,_xlfn.AGGREGATE(15,6,ROW($CF$6:$CF$30)/($CF$6:$CF$30&lt;&gt;""),ROW(#REF!))-5),"")</f>
        <v/>
      </c>
      <c r="CI13" s="14" t="str">
        <f t="shared" si="38"/>
        <v/>
      </c>
      <c r="CK13" s="14" t="str">
        <f>IF(AND($B13="Moderado",$C13="Desprezível"),"8MoDe","")</f>
        <v/>
      </c>
      <c r="CL13" s="14" t="str">
        <f t="shared" si="14"/>
        <v/>
      </c>
      <c r="CM13" s="14" t="str">
        <f>IFERROR(INDEX($CK$6:$CK$30,_xlfn.AGGREGATE(15,6,ROW($CK$6:$CK$30)/($CK$6:$CK$30&lt;&gt;""),ROW(#REF!))-5),"")</f>
        <v/>
      </c>
      <c r="CN13" s="14" t="str">
        <f t="shared" si="39"/>
        <v/>
      </c>
      <c r="CP13" s="15" t="str">
        <f>IF(AND($B13="Baixo",$C13="Muito Alto"),"8BaMu","")</f>
        <v/>
      </c>
      <c r="CQ13" s="15" t="str">
        <f t="shared" si="15"/>
        <v/>
      </c>
      <c r="CR13" s="15" t="str">
        <f>IFERROR(INDEX($CP$6:$CP$30,_xlfn.AGGREGATE(15,6,ROW($CP$6:$CP$30)/($CP$6:$CP$30&lt;&gt;""),ROW(#REF!))-5),"")</f>
        <v/>
      </c>
      <c r="CS13" s="15" t="str">
        <f t="shared" si="40"/>
        <v/>
      </c>
      <c r="CU13" s="15" t="str">
        <f>IF(AND($B13="Baixo",$C13="Alto"),"8BaAl","")</f>
        <v/>
      </c>
      <c r="CV13" s="15" t="str">
        <f t="shared" si="16"/>
        <v/>
      </c>
      <c r="CW13" s="15" t="str">
        <f>IFERROR(INDEX($CU$6:$CU$30,_xlfn.AGGREGATE(15,6,ROW($CU$6:$CU$30)/($CU$6:$CU$30&lt;&gt;""),ROW(#REF!))-5),"")</f>
        <v/>
      </c>
      <c r="CX13" s="15" t="str">
        <f t="shared" si="41"/>
        <v/>
      </c>
      <c r="CZ13" s="15" t="str">
        <f>IF(AND($B13="Baixo",$C13="Moderado"),"8BaMo","")</f>
        <v/>
      </c>
      <c r="DA13" s="15" t="str">
        <f t="shared" si="17"/>
        <v/>
      </c>
      <c r="DB13" s="15" t="str">
        <f>IFERROR(INDEX($CZ$6:$CZ$30,_xlfn.AGGREGATE(15,6,ROW($CZ$6:$CZ$30)/($CZ$6:$CZ$30&lt;&gt;""),ROW(#REF!))-5),"")</f>
        <v/>
      </c>
      <c r="DC13" s="15" t="str">
        <f t="shared" si="42"/>
        <v/>
      </c>
      <c r="DE13" s="15" t="str">
        <f>IF(AND($B13="Baixo",$C13="Baixo"),"8BaBa","")</f>
        <v/>
      </c>
      <c r="DF13" s="15" t="str">
        <f t="shared" si="18"/>
        <v/>
      </c>
      <c r="DG13" s="15" t="str">
        <f>IFERROR(INDEX($DE$6:$DE$30,_xlfn.AGGREGATE(15,6,ROW($DE$6:$DE$30)/($DE$6:$DE$30&lt;&gt;""),ROW(#REF!))-5),"")</f>
        <v/>
      </c>
      <c r="DH13" s="15" t="str">
        <f t="shared" si="43"/>
        <v/>
      </c>
      <c r="DJ13" s="15" t="str">
        <f>IF(AND($B13="Baixo",$C13="Desprezível"),"8BaDe","")</f>
        <v/>
      </c>
      <c r="DK13" s="15" t="str">
        <f t="shared" si="19"/>
        <v/>
      </c>
      <c r="DL13" s="15" t="str">
        <f>IFERROR(INDEX($DJ$6:$DJ$30,_xlfn.AGGREGATE(15,6,ROW($DJ$6:$DJ$30)/($DJ$6:$DJ$30&lt;&gt;""),ROW(#REF!))-5),"")</f>
        <v/>
      </c>
      <c r="DM13" s="15" t="str">
        <f t="shared" si="44"/>
        <v/>
      </c>
      <c r="DO13" s="16" t="str">
        <f>IF(AND($B13="Desprezível",$C13="Muito Alto"),"8DeMu","")</f>
        <v/>
      </c>
      <c r="DP13" s="16" t="str">
        <f t="shared" si="20"/>
        <v/>
      </c>
      <c r="DQ13" s="16" t="str">
        <f>IFERROR(INDEX($DO$6:$DO$10,_xlfn.AGGREGATE(15,6,ROW($DO$6:$DO$10)/($DO$6:$DO$10&lt;&gt;""),ROW(#REF!))-5),"")</f>
        <v/>
      </c>
      <c r="DR13" s="16" t="str">
        <f t="shared" si="45"/>
        <v/>
      </c>
      <c r="DT13" s="16" t="str">
        <f>IF(AND($B13="Desprezível",$C13="Alto"),"8DeAl","")</f>
        <v/>
      </c>
      <c r="DU13" s="16" t="str">
        <f t="shared" si="21"/>
        <v/>
      </c>
      <c r="DV13" s="16" t="str">
        <f>IFERROR(INDEX($DT$6:$DT$30,_xlfn.AGGREGATE(15,6,ROW($DT$6:$DT$30)/($DT$6:$DT$30&lt;&gt;""),ROW(#REF!))-5),"")</f>
        <v/>
      </c>
      <c r="DW13" s="16" t="str">
        <f t="shared" si="46"/>
        <v/>
      </c>
      <c r="DY13" s="16" t="str">
        <f>IF(AND($B13="Desprezível",$C13="Moderado"),"8DeMo","")</f>
        <v/>
      </c>
      <c r="DZ13" s="16" t="str">
        <f t="shared" si="22"/>
        <v/>
      </c>
      <c r="EA13" s="16" t="str">
        <f>IFERROR(INDEX($DY$6:$DY$30,_xlfn.AGGREGATE(15,6,ROW($DY$6:$DY$30)/($DY$6:$DY$30&lt;&gt;""),ROW(#REF!))-5),"")</f>
        <v/>
      </c>
      <c r="EB13" s="16" t="str">
        <f t="shared" si="47"/>
        <v/>
      </c>
      <c r="ED13" s="16" t="str">
        <f>IF(AND($B13="Desprezível",$C13="Baixo"),"8DeBa","")</f>
        <v/>
      </c>
      <c r="EE13" s="16" t="str">
        <f t="shared" si="23"/>
        <v/>
      </c>
      <c r="EF13" s="16" t="str">
        <f>IFERROR(INDEX($ED$6:$ED$30,_xlfn.AGGREGATE(15,6,ROW($ED$6:$ED$30)/($ED$6:$ED$30&lt;&gt;""),ROW(#REF!))-5),"")</f>
        <v/>
      </c>
      <c r="EG13" s="16" t="str">
        <f t="shared" si="48"/>
        <v/>
      </c>
      <c r="EI13" s="16" t="str">
        <f>IF(AND($B13="Desprezível",$C13="Desprezível"),"8DeDe","")</f>
        <v/>
      </c>
      <c r="EJ13" s="16" t="str">
        <f t="shared" si="24"/>
        <v/>
      </c>
      <c r="EK13" s="16" t="str">
        <f>IFERROR(INDEX($EI$6:$EI$30,_xlfn.AGGREGATE(15,6,ROW($EI$6:$EI$30)/($EI$6:$EI$30&lt;&gt;""),ROW(#REF!))-5),"")</f>
        <v/>
      </c>
      <c r="EL13" s="16" t="str">
        <f t="shared" si="49"/>
        <v/>
      </c>
      <c r="GF13" s="1"/>
      <c r="GG13" s="1"/>
      <c r="GH13" s="1"/>
      <c r="GI13" s="1"/>
      <c r="GJ13" s="1"/>
    </row>
    <row r="14" spans="1:192" ht="28.5" customHeight="1" x14ac:dyDescent="0.25">
      <c r="A14" s="38" t="s">
        <v>11</v>
      </c>
      <c r="B14" s="40" t="s">
        <v>29</v>
      </c>
      <c r="C14" s="40" t="s">
        <v>31</v>
      </c>
      <c r="G14" s="37"/>
      <c r="H14" s="7"/>
      <c r="I14" s="8"/>
      <c r="J14" s="23"/>
      <c r="K14" s="10"/>
      <c r="L14" s="11"/>
      <c r="S14" s="12" t="str">
        <f>IF(AND($B14="Muito Alto",$C14="Muito Alto"),"9MuMu","")</f>
        <v/>
      </c>
      <c r="T14" s="12" t="str">
        <f t="shared" si="0"/>
        <v/>
      </c>
      <c r="U14" s="12" t="str">
        <f>IFERROR(INDEX($S$6:$S$10,_xlfn.AGGREGATE(15,6,ROW($S$6:$S$10)/($S$6:$S$10&lt;&gt;""),ROW(#REF!))-5),"")</f>
        <v/>
      </c>
      <c r="V14" s="12" t="str">
        <f t="shared" si="25"/>
        <v/>
      </c>
      <c r="X14" s="12" t="str">
        <f>IF(AND($B14="Muito Alto",$C14="Alto"),"9MuAl","")</f>
        <v/>
      </c>
      <c r="Y14" s="12" t="str">
        <f t="shared" si="1"/>
        <v/>
      </c>
      <c r="Z14" s="12" t="str">
        <f>IFERROR(INDEX($X$6:$X$30,_xlfn.AGGREGATE(15,6,ROW($X$6:$X$30)/($X$6:$X$30&lt;&gt;""),ROW(#REF!))-5),"")</f>
        <v/>
      </c>
      <c r="AA14" s="12" t="str">
        <f t="shared" si="26"/>
        <v/>
      </c>
      <c r="AC14" s="12" t="str">
        <f>IF(AND($B14="Muito Alto",$C14="Moderado"),"9MuMo","")</f>
        <v/>
      </c>
      <c r="AD14" s="12" t="str">
        <f t="shared" si="2"/>
        <v/>
      </c>
      <c r="AE14" s="12" t="str">
        <f>IFERROR(INDEX($AC$6:$AC$30,_xlfn.AGGREGATE(15,6,ROW($AC$6:$AC$30)/($AC$6:$AC$30&lt;&gt;""),ROW(#REF!))-5),"")</f>
        <v/>
      </c>
      <c r="AF14" s="12" t="str">
        <f t="shared" si="27"/>
        <v/>
      </c>
      <c r="AH14" s="17" t="str">
        <f>IF(AND($B14="Muito Alto",$C14="Baixo"),"9MuBa","")</f>
        <v/>
      </c>
      <c r="AI14" s="12" t="str">
        <f t="shared" si="3"/>
        <v/>
      </c>
      <c r="AJ14" s="12" t="str">
        <f>IFERROR(INDEX($AH$6:$AH$30,_xlfn.AGGREGATE(15,6,ROW($AH$6:$AH$30)/($AH$6:$AH$30&lt;&gt;""),ROW(#REF!))-5),"")</f>
        <v/>
      </c>
      <c r="AK14" s="12" t="str">
        <f t="shared" si="28"/>
        <v/>
      </c>
      <c r="AM14" s="12" t="str">
        <f>IF(AND($B14="Muito Alto",$C14="Desprezível"),"9MuDe","")</f>
        <v/>
      </c>
      <c r="AN14" s="12" t="str">
        <f t="shared" si="4"/>
        <v/>
      </c>
      <c r="AO14" s="12" t="str">
        <f>IFERROR(INDEX($AM$6:$AM$30,_xlfn.AGGREGATE(15,6,ROW($AM$6:$AM$30)/($AM$6:$AM$30&lt;&gt;""),ROW(#REF!))-5),"")</f>
        <v/>
      </c>
      <c r="AP14" s="12" t="str">
        <f t="shared" si="29"/>
        <v/>
      </c>
      <c r="AR14" s="13" t="str">
        <f>IF(AND($B14="Alto",$C14="Muito Alto"),"9AlMu","")</f>
        <v/>
      </c>
      <c r="AS14" s="13" t="str">
        <f t="shared" si="5"/>
        <v/>
      </c>
      <c r="AT14" s="13" t="str">
        <f>IFERROR(INDEX($AR$6:$AR$10,_xlfn.AGGREGATE(15,6,ROW($AR$6:$AR$10)/($AR$6:$AR$10&lt;&gt;""),ROW(#REF!))-5),"")</f>
        <v/>
      </c>
      <c r="AU14" s="13" t="str">
        <f t="shared" si="30"/>
        <v/>
      </c>
      <c r="AW14" s="13" t="str">
        <f>IF(AND($B14="Alto",$C14="Alto"),"9AlAl","")</f>
        <v/>
      </c>
      <c r="AX14" s="13" t="str">
        <f t="shared" si="6"/>
        <v/>
      </c>
      <c r="AY14" s="13" t="str">
        <f>IFERROR(INDEX($AW$6:$AW$30,_xlfn.AGGREGATE(15,6,ROW($AW$6:$AW$30)/($AW$6:$AW$30&lt;&gt;""),ROW(#REF!))-5),"")</f>
        <v/>
      </c>
      <c r="AZ14" s="13" t="str">
        <f t="shared" si="31"/>
        <v/>
      </c>
      <c r="BB14" s="13" t="str">
        <f>IF(AND($B14="Alto",$C14="Moderado"),"9AlMo","")</f>
        <v/>
      </c>
      <c r="BC14" s="13" t="str">
        <f t="shared" si="7"/>
        <v/>
      </c>
      <c r="BD14" s="13" t="str">
        <f>IFERROR(INDEX($BB$6:$BB$30,_xlfn.AGGREGATE(15,6,ROW($BB$6:$BB$30)/($BB$6:$BB$30&lt;&gt;""),ROW(#REF!))-5),"")</f>
        <v/>
      </c>
      <c r="BE14" s="13" t="str">
        <f t="shared" si="32"/>
        <v/>
      </c>
      <c r="BG14" s="13" t="str">
        <f>IF(AND($B14="Alto",$C14="Baixo"),"9AlBa","")</f>
        <v>9AlBa</v>
      </c>
      <c r="BH14" s="13" t="str">
        <f t="shared" si="8"/>
        <v/>
      </c>
      <c r="BI14" s="13" t="str">
        <f>IFERROR(INDEX($BG$6:$BG$30,_xlfn.AGGREGATE(15,6,ROW($BG$6:$BG$30)/($BG$6:$BG$30&lt;&gt;""),ROW(#REF!))-5),"")</f>
        <v/>
      </c>
      <c r="BJ14" s="13" t="str">
        <f t="shared" si="33"/>
        <v/>
      </c>
      <c r="BL14" s="13" t="str">
        <f>IF(AND($B14="Alto",$C14="Desprezível"),"9AlDe","")</f>
        <v/>
      </c>
      <c r="BM14" s="13" t="str">
        <f t="shared" si="9"/>
        <v/>
      </c>
      <c r="BN14" s="13" t="str">
        <f>IFERROR(INDEX($BL$6:$BL$30,_xlfn.AGGREGATE(15,6,ROW($BL$6:$BL$30)/($BL$6:$BL$30&lt;&gt;""),ROW(#REF!))-5),"")</f>
        <v/>
      </c>
      <c r="BO14" s="13" t="str">
        <f t="shared" si="34"/>
        <v/>
      </c>
      <c r="BQ14" s="14" t="str">
        <f>IF(AND($B14="Moderado",$C14="Muito Alto"),"9MoMu","")</f>
        <v/>
      </c>
      <c r="BR14" s="14" t="str">
        <f t="shared" si="10"/>
        <v/>
      </c>
      <c r="BS14" s="14" t="str">
        <f>IFERROR(INDEX($BQ$6:$BQ$10,_xlfn.AGGREGATE(15,6,ROW($BQ$6:$BQ$10)/($BQ$6:$BQ$10&lt;&gt;""),ROW(#REF!))-5),"")</f>
        <v/>
      </c>
      <c r="BT14" s="14" t="str">
        <f t="shared" si="35"/>
        <v/>
      </c>
      <c r="BV14" s="14" t="str">
        <f>IF(AND($B14="Moderado",$C14="Alto"),"9MoAl","")</f>
        <v/>
      </c>
      <c r="BW14" s="14" t="str">
        <f t="shared" si="11"/>
        <v/>
      </c>
      <c r="BX14" s="14" t="str">
        <f>IFERROR(INDEX($BV$6:$BV$30,_xlfn.AGGREGATE(15,6,ROW($BV$6:$BV$30)/($BV$6:$BV$30&lt;&gt;""),ROW(#REF!))-5),"")</f>
        <v/>
      </c>
      <c r="BY14" s="14" t="str">
        <f t="shared" si="36"/>
        <v/>
      </c>
      <c r="CA14" s="14" t="str">
        <f>IF(AND($B14="Moderado",$C14="Moderado"),"9MoMo","")</f>
        <v/>
      </c>
      <c r="CB14" s="14" t="str">
        <f t="shared" si="12"/>
        <v/>
      </c>
      <c r="CC14" s="14" t="str">
        <f>IFERROR(INDEX($CA$6:$CA$30,_xlfn.AGGREGATE(15,6,ROW($CA$6:$CA$30)/($CA$6:$CA$30&lt;&gt;""),ROW(#REF!))-5),"")</f>
        <v/>
      </c>
      <c r="CD14" s="14" t="str">
        <f t="shared" si="37"/>
        <v/>
      </c>
      <c r="CF14" s="14" t="str">
        <f>IF(AND($B14="Moderado",$C14="Baixo"),"9MoBa","")</f>
        <v/>
      </c>
      <c r="CG14" s="14" t="str">
        <f t="shared" si="13"/>
        <v/>
      </c>
      <c r="CH14" s="14" t="str">
        <f>IFERROR(INDEX($CF$6:$CF$30,_xlfn.AGGREGATE(15,6,ROW($CF$6:$CF$30)/($CF$6:$CF$30&lt;&gt;""),ROW(#REF!))-5),"")</f>
        <v/>
      </c>
      <c r="CI14" s="14" t="str">
        <f t="shared" si="38"/>
        <v/>
      </c>
      <c r="CK14" s="14" t="str">
        <f>IF(AND($B14="Moderado",$C14="Desprezível"),"9MoDe","")</f>
        <v/>
      </c>
      <c r="CL14" s="14" t="str">
        <f t="shared" si="14"/>
        <v/>
      </c>
      <c r="CM14" s="14" t="str">
        <f>IFERROR(INDEX($CK$6:$CK$30,_xlfn.AGGREGATE(15,6,ROW($CK$6:$CK$30)/($CK$6:$CK$30&lt;&gt;""),ROW(#REF!))-5),"")</f>
        <v/>
      </c>
      <c r="CN14" s="14" t="str">
        <f t="shared" si="39"/>
        <v/>
      </c>
      <c r="CP14" s="15" t="str">
        <f>IF(AND($B14="Baixo",$C14="Muito Alto"),"9BaMu","")</f>
        <v/>
      </c>
      <c r="CQ14" s="15" t="str">
        <f t="shared" si="15"/>
        <v/>
      </c>
      <c r="CR14" s="15" t="str">
        <f>IFERROR(INDEX($CP$6:$CP$30,_xlfn.AGGREGATE(15,6,ROW($CP$6:$CP$30)/($CP$6:$CP$30&lt;&gt;""),ROW(#REF!))-5),"")</f>
        <v/>
      </c>
      <c r="CS14" s="15" t="str">
        <f t="shared" si="40"/>
        <v/>
      </c>
      <c r="CU14" s="15" t="str">
        <f>IF(AND($B14="Baixo",$C14="Alto"),"9BaAl","")</f>
        <v/>
      </c>
      <c r="CV14" s="15" t="str">
        <f t="shared" si="16"/>
        <v/>
      </c>
      <c r="CW14" s="15" t="str">
        <f>IFERROR(INDEX($CU$6:$CU$30,_xlfn.AGGREGATE(15,6,ROW($CU$6:$CU$30)/($CU$6:$CU$30&lt;&gt;""),ROW(#REF!))-5),"")</f>
        <v/>
      </c>
      <c r="CX14" s="15" t="str">
        <f t="shared" si="41"/>
        <v/>
      </c>
      <c r="CZ14" s="15" t="str">
        <f>IF(AND($B14="Baixo",$C14="Moderado"),"9BaMo","")</f>
        <v/>
      </c>
      <c r="DA14" s="15" t="str">
        <f t="shared" si="17"/>
        <v/>
      </c>
      <c r="DB14" s="15" t="str">
        <f>IFERROR(INDEX($CZ$6:$CZ$30,_xlfn.AGGREGATE(15,6,ROW($CZ$6:$CZ$30)/($CZ$6:$CZ$30&lt;&gt;""),ROW(#REF!))-5),"")</f>
        <v/>
      </c>
      <c r="DC14" s="15" t="str">
        <f t="shared" si="42"/>
        <v/>
      </c>
      <c r="DE14" s="15" t="str">
        <f>IF(AND($B14="Baixo",$C14="Baixo"),"9BaBa","")</f>
        <v/>
      </c>
      <c r="DF14" s="15" t="str">
        <f t="shared" si="18"/>
        <v/>
      </c>
      <c r="DG14" s="15" t="str">
        <f>IFERROR(INDEX($DE$6:$DE$30,_xlfn.AGGREGATE(15,6,ROW($DE$6:$DE$30)/($DE$6:$DE$30&lt;&gt;""),ROW(#REF!))-5),"")</f>
        <v/>
      </c>
      <c r="DH14" s="15" t="str">
        <f t="shared" si="43"/>
        <v/>
      </c>
      <c r="DJ14" s="15" t="str">
        <f>IF(AND($B14="Baixo",$C14="Desprezível"),"9BaDe","")</f>
        <v/>
      </c>
      <c r="DK14" s="15" t="str">
        <f t="shared" si="19"/>
        <v/>
      </c>
      <c r="DL14" s="15" t="str">
        <f>IFERROR(INDEX($DJ$6:$DJ$30,_xlfn.AGGREGATE(15,6,ROW($DJ$6:$DJ$30)/($DJ$6:$DJ$30&lt;&gt;""),ROW(#REF!))-5),"")</f>
        <v/>
      </c>
      <c r="DM14" s="15" t="str">
        <f t="shared" si="44"/>
        <v/>
      </c>
      <c r="DO14" s="16" t="str">
        <f>IF(AND($B14="Desprezível",$C14="Muito Alto"),"9DeMu","")</f>
        <v/>
      </c>
      <c r="DP14" s="16" t="str">
        <f t="shared" si="20"/>
        <v/>
      </c>
      <c r="DQ14" s="16" t="str">
        <f>IFERROR(INDEX($DO$6:$DO$10,_xlfn.AGGREGATE(15,6,ROW($DO$6:$DO$10)/($DO$6:$DO$10&lt;&gt;""),ROW(#REF!))-5),"")</f>
        <v/>
      </c>
      <c r="DR14" s="16" t="str">
        <f t="shared" si="45"/>
        <v/>
      </c>
      <c r="DT14" s="16" t="str">
        <f>IF(AND($B14="Desprezível",$C14="Alto"),"9DeAl","")</f>
        <v/>
      </c>
      <c r="DU14" s="16" t="str">
        <f t="shared" si="21"/>
        <v/>
      </c>
      <c r="DV14" s="16" t="str">
        <f>IFERROR(INDEX($DT$6:$DT$30,_xlfn.AGGREGATE(15,6,ROW($DT$6:$DT$30)/($DT$6:$DT$30&lt;&gt;""),ROW(#REF!))-5),"")</f>
        <v/>
      </c>
      <c r="DW14" s="16" t="str">
        <f t="shared" si="46"/>
        <v/>
      </c>
      <c r="DY14" s="16" t="str">
        <f>IF(AND($B14="Desprezível",$C14="Moderado"),"9DeMo","")</f>
        <v/>
      </c>
      <c r="DZ14" s="16" t="str">
        <f t="shared" si="22"/>
        <v/>
      </c>
      <c r="EA14" s="16" t="str">
        <f>IFERROR(INDEX($DY$6:$DY$30,_xlfn.AGGREGATE(15,6,ROW($DY$6:$DY$30)/($DY$6:$DY$30&lt;&gt;""),ROW(#REF!))-5),"")</f>
        <v/>
      </c>
      <c r="EB14" s="16" t="str">
        <f t="shared" si="47"/>
        <v/>
      </c>
      <c r="ED14" s="16" t="str">
        <f>IF(AND($B14="Desprezível",$C14="Baixo"),"9DeBa","")</f>
        <v/>
      </c>
      <c r="EE14" s="16" t="str">
        <f t="shared" si="23"/>
        <v/>
      </c>
      <c r="EF14" s="16" t="str">
        <f>IFERROR(INDEX($ED$6:$ED$30,_xlfn.AGGREGATE(15,6,ROW($ED$6:$ED$30)/($ED$6:$ED$30&lt;&gt;""),ROW(#REF!))-5),"")</f>
        <v/>
      </c>
      <c r="EG14" s="16" t="str">
        <f t="shared" si="48"/>
        <v/>
      </c>
      <c r="EI14" s="16" t="str">
        <f>IF(AND($B14="Desprezível",$C14="Desprezível"),"9DeDe","")</f>
        <v/>
      </c>
      <c r="EJ14" s="16" t="str">
        <f t="shared" si="24"/>
        <v/>
      </c>
      <c r="EK14" s="16" t="str">
        <f>IFERROR(INDEX($EI$6:$EI$30,_xlfn.AGGREGATE(15,6,ROW($EI$6:$EI$30)/($EI$6:$EI$30&lt;&gt;""),ROW(#REF!))-5),"")</f>
        <v/>
      </c>
      <c r="EL14" s="16" t="str">
        <f t="shared" si="49"/>
        <v/>
      </c>
      <c r="GF14" s="1"/>
      <c r="GG14" s="1"/>
      <c r="GH14" s="1"/>
      <c r="GI14" s="1"/>
      <c r="GJ14" s="1"/>
    </row>
    <row r="15" spans="1:192" ht="28.5" customHeight="1" x14ac:dyDescent="0.25">
      <c r="A15" s="38" t="s">
        <v>12</v>
      </c>
      <c r="B15" s="40" t="s">
        <v>29</v>
      </c>
      <c r="C15" s="40" t="s">
        <v>32</v>
      </c>
      <c r="G15" s="37"/>
      <c r="H15" s="2" t="s">
        <v>17</v>
      </c>
      <c r="I15" s="24" t="s">
        <v>16</v>
      </c>
      <c r="J15" s="25" t="s">
        <v>15</v>
      </c>
      <c r="K15" s="5" t="s">
        <v>14</v>
      </c>
      <c r="L15" s="6" t="s">
        <v>13</v>
      </c>
      <c r="S15" s="12" t="str">
        <f>IF(AND($B15="Muito Alto",$C15="Muito Alto"),"10MuMu","")</f>
        <v/>
      </c>
      <c r="T15" s="12" t="str">
        <f t="shared" si="0"/>
        <v/>
      </c>
      <c r="U15" s="12" t="str">
        <f>IFERROR(INDEX($S$6:$S$10,_xlfn.AGGREGATE(15,6,ROW($S$6:$S$10)/($S$6:$S$10&lt;&gt;""),ROW(#REF!))-5),"")</f>
        <v/>
      </c>
      <c r="V15" s="12" t="str">
        <f t="shared" si="25"/>
        <v/>
      </c>
      <c r="X15" s="12" t="str">
        <f>IF(AND($B15="Muito Alto",$C15="Alto"),"10MuAl","")</f>
        <v/>
      </c>
      <c r="Y15" s="12" t="str">
        <f t="shared" si="1"/>
        <v/>
      </c>
      <c r="Z15" s="12" t="str">
        <f>IFERROR(INDEX($X$6:$X$30,_xlfn.AGGREGATE(15,6,ROW($X$6:$X$30)/($X$6:$X$30&lt;&gt;""),ROW(#REF!))-5),"")</f>
        <v/>
      </c>
      <c r="AA15" s="12" t="str">
        <f t="shared" si="26"/>
        <v/>
      </c>
      <c r="AC15" s="12" t="str">
        <f>IF(AND($B15="Muito Alto",$C15="Moderado"),"10MuMo","")</f>
        <v/>
      </c>
      <c r="AD15" s="12" t="str">
        <f t="shared" si="2"/>
        <v/>
      </c>
      <c r="AE15" s="12" t="str">
        <f>IFERROR(INDEX($AC$6:$AC$30,_xlfn.AGGREGATE(15,6,ROW($AC$6:$AC$30)/($AC$6:$AC$30&lt;&gt;""),ROW(#REF!))-5),"")</f>
        <v/>
      </c>
      <c r="AF15" s="12" t="str">
        <f t="shared" si="27"/>
        <v/>
      </c>
      <c r="AH15" s="17" t="str">
        <f>IF(AND($B15="Muito Alto",$C15="Baixo"),"10MuBa","")</f>
        <v/>
      </c>
      <c r="AI15" s="12" t="str">
        <f t="shared" si="3"/>
        <v/>
      </c>
      <c r="AJ15" s="12" t="str">
        <f>IFERROR(INDEX($AH$6:$AH$30,_xlfn.AGGREGATE(15,6,ROW($AH$6:$AH$30)/($AH$6:$AH$30&lt;&gt;""),ROW(#REF!))-5),"")</f>
        <v/>
      </c>
      <c r="AK15" s="12" t="str">
        <f t="shared" si="28"/>
        <v/>
      </c>
      <c r="AM15" s="12" t="str">
        <f>IF(AND($B15="Muito Alto",$C15="Desprezível"),"10MuDe","")</f>
        <v/>
      </c>
      <c r="AN15" s="12" t="str">
        <f t="shared" si="4"/>
        <v/>
      </c>
      <c r="AO15" s="12" t="str">
        <f>IFERROR(INDEX($AM$6:$AM$30,_xlfn.AGGREGATE(15,6,ROW($AM$6:$AM$30)/($AM$6:$AM$30&lt;&gt;""),ROW(#REF!))-5),"")</f>
        <v/>
      </c>
      <c r="AP15" s="12" t="str">
        <f t="shared" si="29"/>
        <v/>
      </c>
      <c r="AR15" s="13" t="str">
        <f>IF(AND($B15="Alto",$C15="Muito Alto"),"10AlMu","")</f>
        <v/>
      </c>
      <c r="AS15" s="13" t="str">
        <f t="shared" si="5"/>
        <v/>
      </c>
      <c r="AT15" s="13" t="str">
        <f>IFERROR(INDEX($AR$6:$AR$10,_xlfn.AGGREGATE(15,6,ROW($AR$6:$AR$10)/($AR$6:$AR$10&lt;&gt;""),ROW(#REF!))-5),"")</f>
        <v/>
      </c>
      <c r="AU15" s="13" t="str">
        <f t="shared" si="30"/>
        <v/>
      </c>
      <c r="AW15" s="13" t="str">
        <f>IF(AND($B15="Alto",$C15="Alto"),"10AlAl","")</f>
        <v/>
      </c>
      <c r="AX15" s="13" t="str">
        <f t="shared" si="6"/>
        <v/>
      </c>
      <c r="AY15" s="13" t="str">
        <f>IFERROR(INDEX($AW$6:$AW$30,_xlfn.AGGREGATE(15,6,ROW($AW$6:$AW$30)/($AW$6:$AW$30&lt;&gt;""),ROW(#REF!))-5),"")</f>
        <v/>
      </c>
      <c r="AZ15" s="13" t="str">
        <f t="shared" si="31"/>
        <v/>
      </c>
      <c r="BB15" s="13" t="str">
        <f>IF(AND($B15="Alto",$C15="Moderado"),"10AlMo","")</f>
        <v/>
      </c>
      <c r="BC15" s="13" t="str">
        <f t="shared" si="7"/>
        <v/>
      </c>
      <c r="BD15" s="13" t="str">
        <f>IFERROR(INDEX($BB$6:$BB$30,_xlfn.AGGREGATE(15,6,ROW($BB$6:$BB$30)/($BB$6:$BB$30&lt;&gt;""),ROW(#REF!))-5),"")</f>
        <v/>
      </c>
      <c r="BE15" s="13" t="str">
        <f t="shared" si="32"/>
        <v/>
      </c>
      <c r="BG15" s="13" t="str">
        <f>IF(AND($B15="Alto",$C15="Baixo"),"10AlBa","")</f>
        <v/>
      </c>
      <c r="BH15" s="13" t="str">
        <f t="shared" si="8"/>
        <v/>
      </c>
      <c r="BI15" s="13" t="str">
        <f>IFERROR(INDEX($BG$6:$BG$30,_xlfn.AGGREGATE(15,6,ROW($BG$6:$BG$30)/($BG$6:$BG$30&lt;&gt;""),ROW(#REF!))-5),"")</f>
        <v/>
      </c>
      <c r="BJ15" s="13" t="str">
        <f t="shared" si="33"/>
        <v/>
      </c>
      <c r="BL15" s="13" t="str">
        <f>IF(AND($B15="Alto",$C15="Desprezível"),"10AlDe","")</f>
        <v>10AlDe</v>
      </c>
      <c r="BM15" s="13" t="str">
        <f t="shared" si="9"/>
        <v/>
      </c>
      <c r="BN15" s="13" t="str">
        <f>IFERROR(INDEX($BL$6:$BL$30,_xlfn.AGGREGATE(15,6,ROW($BL$6:$BL$30)/($BL$6:$BL$30&lt;&gt;""),ROW(#REF!))-5),"")</f>
        <v/>
      </c>
      <c r="BO15" s="13" t="str">
        <f t="shared" si="34"/>
        <v/>
      </c>
      <c r="BQ15" s="14" t="str">
        <f>IF(AND($B15="Moderado",$C15="Muito Alto"),"10MoMu","")</f>
        <v/>
      </c>
      <c r="BR15" s="14" t="str">
        <f t="shared" si="10"/>
        <v/>
      </c>
      <c r="BS15" s="14" t="str">
        <f>IFERROR(INDEX($BQ$6:$BQ$10,_xlfn.AGGREGATE(15,6,ROW($BQ$6:$BQ$10)/($BQ$6:$BQ$10&lt;&gt;""),ROW(#REF!))-5),"")</f>
        <v/>
      </c>
      <c r="BT15" s="14" t="str">
        <f t="shared" si="35"/>
        <v/>
      </c>
      <c r="BV15" s="14" t="str">
        <f>IF(AND($B15="Moderado",$C15="Alto"),"10MoAl","")</f>
        <v/>
      </c>
      <c r="BW15" s="14" t="str">
        <f t="shared" si="11"/>
        <v/>
      </c>
      <c r="BX15" s="14" t="str">
        <f>IFERROR(INDEX($BV$6:$BV$30,_xlfn.AGGREGATE(15,6,ROW($BV$6:$BV$30)/($BV$6:$BV$30&lt;&gt;""),ROW(#REF!))-5),"")</f>
        <v/>
      </c>
      <c r="BY15" s="14" t="str">
        <f t="shared" si="36"/>
        <v/>
      </c>
      <c r="CA15" s="14" t="str">
        <f>IF(AND($B15="Moderado",$C15="Moderado"),"10MoMo","")</f>
        <v/>
      </c>
      <c r="CB15" s="14" t="str">
        <f t="shared" si="12"/>
        <v/>
      </c>
      <c r="CC15" s="14" t="str">
        <f>IFERROR(INDEX($CA$6:$CA$30,_xlfn.AGGREGATE(15,6,ROW($CA$6:$CA$30)/($CA$6:$CA$30&lt;&gt;""),ROW(#REF!))-5),"")</f>
        <v/>
      </c>
      <c r="CD15" s="14" t="str">
        <f t="shared" si="37"/>
        <v/>
      </c>
      <c r="CF15" s="14" t="str">
        <f>IF(AND($B15="Moderado",$C15="Baixo"),"10MoBa","")</f>
        <v/>
      </c>
      <c r="CG15" s="14" t="str">
        <f t="shared" si="13"/>
        <v/>
      </c>
      <c r="CH15" s="14" t="str">
        <f>IFERROR(INDEX($CF$6:$CF$30,_xlfn.AGGREGATE(15,6,ROW($CF$6:$CF$30)/($CF$6:$CF$30&lt;&gt;""),ROW(#REF!))-5),"")</f>
        <v/>
      </c>
      <c r="CI15" s="14" t="str">
        <f t="shared" si="38"/>
        <v/>
      </c>
      <c r="CK15" s="14" t="str">
        <f>IF(AND($B15="Moderado",$C15="Desprezível"),"10MoDe","")</f>
        <v/>
      </c>
      <c r="CL15" s="14" t="str">
        <f t="shared" si="14"/>
        <v/>
      </c>
      <c r="CM15" s="14" t="str">
        <f>IFERROR(INDEX($CK$6:$CK$30,_xlfn.AGGREGATE(15,6,ROW($CK$6:$CK$30)/($CK$6:$CK$30&lt;&gt;""),ROW(#REF!))-5),"")</f>
        <v/>
      </c>
      <c r="CN15" s="14" t="str">
        <f t="shared" si="39"/>
        <v/>
      </c>
      <c r="CP15" s="15" t="str">
        <f>IF(AND($B15="Baixo",$C15="Muito Alto"),"10BaMu","")</f>
        <v/>
      </c>
      <c r="CQ15" s="15" t="str">
        <f t="shared" si="15"/>
        <v/>
      </c>
      <c r="CR15" s="15" t="str">
        <f>IFERROR(INDEX($CP$6:$CP$30,_xlfn.AGGREGATE(15,6,ROW($CP$6:$CP$30)/($CP$6:$CP$30&lt;&gt;""),ROW(#REF!))-5),"")</f>
        <v/>
      </c>
      <c r="CS15" s="15" t="str">
        <f t="shared" si="40"/>
        <v/>
      </c>
      <c r="CU15" s="15" t="str">
        <f>IF(AND($B15="Baixo",$C15="Alto"),"10BaAl","")</f>
        <v/>
      </c>
      <c r="CV15" s="15" t="str">
        <f t="shared" si="16"/>
        <v/>
      </c>
      <c r="CW15" s="15" t="str">
        <f>IFERROR(INDEX($CU$6:$CU$30,_xlfn.AGGREGATE(15,6,ROW($CU$6:$CU$30)/($CU$6:$CU$30&lt;&gt;""),ROW(#REF!))-5),"")</f>
        <v/>
      </c>
      <c r="CX15" s="15" t="str">
        <f t="shared" si="41"/>
        <v/>
      </c>
      <c r="CZ15" s="15" t="str">
        <f>IF(AND($B15="Baixo",$C15="Moderado"),"10BaMo","")</f>
        <v/>
      </c>
      <c r="DA15" s="15" t="str">
        <f t="shared" si="17"/>
        <v/>
      </c>
      <c r="DB15" s="15" t="str">
        <f>IFERROR(INDEX($CZ$6:$CZ$30,_xlfn.AGGREGATE(15,6,ROW($CZ$6:$CZ$30)/($CZ$6:$CZ$30&lt;&gt;""),ROW(#REF!))-5),"")</f>
        <v/>
      </c>
      <c r="DC15" s="15" t="str">
        <f t="shared" si="42"/>
        <v/>
      </c>
      <c r="DE15" s="15" t="str">
        <f>IF(AND($B15="Baixo",$C15="Baixo"),"10BaBa","")</f>
        <v/>
      </c>
      <c r="DF15" s="15" t="str">
        <f t="shared" si="18"/>
        <v/>
      </c>
      <c r="DG15" s="15" t="str">
        <f>IFERROR(INDEX($DE$6:$DE$30,_xlfn.AGGREGATE(15,6,ROW($DE$6:$DE$30)/($DE$6:$DE$30&lt;&gt;""),ROW(#REF!))-5),"")</f>
        <v/>
      </c>
      <c r="DH15" s="15" t="str">
        <f t="shared" si="43"/>
        <v/>
      </c>
      <c r="DJ15" s="15" t="str">
        <f>IF(AND($B15="Baixo",$C15="Desprezível"),"10BaDe","")</f>
        <v/>
      </c>
      <c r="DK15" s="15" t="str">
        <f t="shared" si="19"/>
        <v/>
      </c>
      <c r="DL15" s="15" t="str">
        <f>IFERROR(INDEX($DJ$6:$DJ$30,_xlfn.AGGREGATE(15,6,ROW($DJ$6:$DJ$30)/($DJ$6:$DJ$30&lt;&gt;""),ROW(#REF!))-5),"")</f>
        <v/>
      </c>
      <c r="DM15" s="15" t="str">
        <f t="shared" si="44"/>
        <v/>
      </c>
      <c r="DO15" s="16" t="str">
        <f>IF(AND($B15="Desprezível",$C15="Muito Alto"),"10DeMu","")</f>
        <v/>
      </c>
      <c r="DP15" s="16" t="str">
        <f t="shared" si="20"/>
        <v/>
      </c>
      <c r="DQ15" s="16" t="str">
        <f>IFERROR(INDEX($DO$6:$DO$10,_xlfn.AGGREGATE(15,6,ROW($DO$6:$DO$10)/($DO$6:$DO$10&lt;&gt;""),ROW(#REF!))-5),"")</f>
        <v/>
      </c>
      <c r="DR15" s="16" t="str">
        <f t="shared" si="45"/>
        <v/>
      </c>
      <c r="DT15" s="16" t="str">
        <f>IF(AND($B15="Desprezível",$C15="Alto"),"10DeAl","")</f>
        <v/>
      </c>
      <c r="DU15" s="16" t="str">
        <f t="shared" si="21"/>
        <v/>
      </c>
      <c r="DV15" s="16" t="str">
        <f>IFERROR(INDEX($DT$6:$DT$30,_xlfn.AGGREGATE(15,6,ROW($DT$6:$DT$30)/($DT$6:$DT$30&lt;&gt;""),ROW(#REF!))-5),"")</f>
        <v/>
      </c>
      <c r="DW15" s="16" t="str">
        <f t="shared" si="46"/>
        <v/>
      </c>
      <c r="DY15" s="16" t="str">
        <f>IF(AND($B15="Desprezível",$C15="Moderado"),"10DeMo","")</f>
        <v/>
      </c>
      <c r="DZ15" s="16" t="str">
        <f t="shared" si="22"/>
        <v/>
      </c>
      <c r="EA15" s="16" t="str">
        <f>IFERROR(INDEX($DY$6:$DY$30,_xlfn.AGGREGATE(15,6,ROW($DY$6:$DY$30)/($DY$6:$DY$30&lt;&gt;""),ROW(#REF!))-5),"")</f>
        <v/>
      </c>
      <c r="EB15" s="16" t="str">
        <f t="shared" si="47"/>
        <v/>
      </c>
      <c r="ED15" s="16" t="str">
        <f>IF(AND($B15="Desprezível",$C15="Baixo"),"10DeBa","")</f>
        <v/>
      </c>
      <c r="EE15" s="16" t="str">
        <f t="shared" si="23"/>
        <v/>
      </c>
      <c r="EF15" s="16" t="str">
        <f>IFERROR(INDEX($ED$6:$ED$30,_xlfn.AGGREGATE(15,6,ROW($ED$6:$ED$30)/($ED$6:$ED$30&lt;&gt;""),ROW(#REF!))-5),"")</f>
        <v/>
      </c>
      <c r="EG15" s="16" t="str">
        <f t="shared" si="48"/>
        <v/>
      </c>
      <c r="EI15" s="16" t="str">
        <f>IF(AND($B15="Desprezível",$C15="Desprezível"),"10DeDe","")</f>
        <v/>
      </c>
      <c r="EJ15" s="16" t="str">
        <f t="shared" si="24"/>
        <v/>
      </c>
      <c r="EK15" s="16" t="str">
        <f>IFERROR(INDEX($EI$6:$EI$30,_xlfn.AGGREGATE(15,6,ROW($EI$6:$EI$30)/($EI$6:$EI$30&lt;&gt;""),ROW(#REF!))-5),"")</f>
        <v/>
      </c>
      <c r="EL15" s="16" t="str">
        <f t="shared" si="49"/>
        <v/>
      </c>
      <c r="GF15" s="1"/>
      <c r="GG15" s="1"/>
      <c r="GH15" s="1"/>
      <c r="GI15" s="1"/>
      <c r="GJ15" s="1"/>
    </row>
    <row r="16" spans="1:192" ht="28.5" customHeight="1" x14ac:dyDescent="0.25">
      <c r="A16" s="38" t="s">
        <v>13</v>
      </c>
      <c r="B16" s="40" t="s">
        <v>30</v>
      </c>
      <c r="C16" s="39" t="s">
        <v>2</v>
      </c>
      <c r="G16" s="37"/>
      <c r="H16" s="7"/>
      <c r="I16" s="26" t="s">
        <v>34</v>
      </c>
      <c r="J16" s="23"/>
      <c r="K16" s="10"/>
      <c r="L16" s="11" t="s">
        <v>37</v>
      </c>
      <c r="S16" s="12" t="str">
        <f>IF(AND($B16="Muito Alto",$C16="Muito Alto"),"11MuMu","")</f>
        <v/>
      </c>
      <c r="T16" s="12" t="str">
        <f t="shared" si="0"/>
        <v/>
      </c>
      <c r="U16" s="12" t="str">
        <f>IFERROR(INDEX($S$6:$S$10,_xlfn.AGGREGATE(15,6,ROW($S$6:$S$10)/($S$6:$S$10&lt;&gt;""),ROW(#REF!))-5),"")</f>
        <v/>
      </c>
      <c r="V16" s="12" t="str">
        <f t="shared" si="25"/>
        <v/>
      </c>
      <c r="X16" s="12" t="str">
        <f>IF(AND($B16="Muito Alto",$C16="Alto"),"11MuAl","")</f>
        <v/>
      </c>
      <c r="Y16" s="12" t="str">
        <f t="shared" si="1"/>
        <v/>
      </c>
      <c r="Z16" s="12" t="str">
        <f>IFERROR(INDEX($X$6:$X$30,_xlfn.AGGREGATE(15,6,ROW($X$6:$X$30)/($X$6:$X$30&lt;&gt;""),ROW(#REF!))-5),"")</f>
        <v/>
      </c>
      <c r="AA16" s="12" t="str">
        <f t="shared" si="26"/>
        <v/>
      </c>
      <c r="AC16" s="12" t="str">
        <f>IF(AND($B16="Muito Alto",$C16="Moderado"),"11MuMo","")</f>
        <v/>
      </c>
      <c r="AD16" s="12" t="str">
        <f t="shared" si="2"/>
        <v/>
      </c>
      <c r="AE16" s="12" t="str">
        <f>IFERROR(INDEX($AC$6:$AC$30,_xlfn.AGGREGATE(15,6,ROW($AC$6:$AC$30)/($AC$6:$AC$30&lt;&gt;""),ROW(#REF!))-5),"")</f>
        <v/>
      </c>
      <c r="AF16" s="12" t="str">
        <f t="shared" si="27"/>
        <v/>
      </c>
      <c r="AH16" s="17" t="str">
        <f>IF(AND($B16="Muito Alto",$C16="Baixo"),"11MuBa","")</f>
        <v/>
      </c>
      <c r="AI16" s="12" t="str">
        <f t="shared" si="3"/>
        <v/>
      </c>
      <c r="AJ16" s="12" t="str">
        <f>IFERROR(INDEX($AH$6:$AH$30,_xlfn.AGGREGATE(15,6,ROW($AH$6:$AH$30)/($AH$6:$AH$30&lt;&gt;""),ROW(#REF!))-5),"")</f>
        <v/>
      </c>
      <c r="AK16" s="12" t="str">
        <f t="shared" si="28"/>
        <v/>
      </c>
      <c r="AM16" s="12" t="str">
        <f>IF(AND($B16="Muito Alto",$C16="Desprezível"),"11MuDe","")</f>
        <v/>
      </c>
      <c r="AN16" s="12" t="str">
        <f t="shared" si="4"/>
        <v/>
      </c>
      <c r="AO16" s="12" t="str">
        <f>IFERROR(INDEX($AM$6:$AM$30,_xlfn.AGGREGATE(15,6,ROW($AM$6:$AM$30)/($AM$6:$AM$30&lt;&gt;""),ROW(#REF!))-5),"")</f>
        <v/>
      </c>
      <c r="AP16" s="12" t="str">
        <f t="shared" si="29"/>
        <v/>
      </c>
      <c r="AR16" s="13" t="str">
        <f>IF(AND($B16="Alto",$C16="Muito Alto"),"11AlMu","")</f>
        <v/>
      </c>
      <c r="AS16" s="13" t="str">
        <f t="shared" si="5"/>
        <v/>
      </c>
      <c r="AT16" s="13" t="str">
        <f>IFERROR(INDEX($AR$6:$AR$10,_xlfn.AGGREGATE(15,6,ROW($AR$6:$AR$10)/($AR$6:$AR$10&lt;&gt;""),ROW(#REF!))-5),"")</f>
        <v/>
      </c>
      <c r="AU16" s="13" t="str">
        <f t="shared" si="30"/>
        <v/>
      </c>
      <c r="AW16" s="13" t="str">
        <f>IF(AND($B16="Alto",$C16="Alto"),"11AlAl","")</f>
        <v/>
      </c>
      <c r="AX16" s="13" t="str">
        <f t="shared" si="6"/>
        <v/>
      </c>
      <c r="AY16" s="13" t="str">
        <f>IFERROR(INDEX($AW$6:$AW$30,_xlfn.AGGREGATE(15,6,ROW($AW$6:$AW$30)/($AW$6:$AW$30&lt;&gt;""),ROW(#REF!))-5),"")</f>
        <v/>
      </c>
      <c r="AZ16" s="13" t="str">
        <f t="shared" si="31"/>
        <v/>
      </c>
      <c r="BB16" s="13" t="str">
        <f>IF(AND($B16="Alto",$C16="Moderado"),"11AlMo","")</f>
        <v/>
      </c>
      <c r="BC16" s="13" t="str">
        <f t="shared" si="7"/>
        <v/>
      </c>
      <c r="BD16" s="13" t="str">
        <f>IFERROR(INDEX($BB$6:$BB$30,_xlfn.AGGREGATE(15,6,ROW($BB$6:$BB$30)/($BB$6:$BB$30&lt;&gt;""),ROW(#REF!))-5),"")</f>
        <v/>
      </c>
      <c r="BE16" s="13" t="str">
        <f t="shared" si="32"/>
        <v/>
      </c>
      <c r="BG16" s="13" t="str">
        <f>IF(AND($B16="Alto",$C16="Baixo"),"11AlBa","")</f>
        <v/>
      </c>
      <c r="BH16" s="13" t="str">
        <f t="shared" si="8"/>
        <v/>
      </c>
      <c r="BI16" s="13" t="str">
        <f>IFERROR(INDEX($BG$6:$BG$30,_xlfn.AGGREGATE(15,6,ROW($BG$6:$BG$30)/($BG$6:$BG$30&lt;&gt;""),ROW(#REF!))-5),"")</f>
        <v/>
      </c>
      <c r="BJ16" s="13" t="str">
        <f t="shared" si="33"/>
        <v/>
      </c>
      <c r="BL16" s="13" t="str">
        <f>IF(AND($B16="Alto",$C16="Desprezível"),"11AlDe","")</f>
        <v/>
      </c>
      <c r="BM16" s="13" t="str">
        <f t="shared" si="9"/>
        <v/>
      </c>
      <c r="BN16" s="13" t="str">
        <f>IFERROR(INDEX($BL$6:$BL$30,_xlfn.AGGREGATE(15,6,ROW($BL$6:$BL$30)/($BL$6:$BL$30&lt;&gt;""),ROW(#REF!))-5),"")</f>
        <v/>
      </c>
      <c r="BO16" s="13" t="str">
        <f t="shared" si="34"/>
        <v/>
      </c>
      <c r="BQ16" s="14" t="str">
        <f>IF(AND($B16="Moderado",$C16="Muito Alto"),"11MoMu","")</f>
        <v>11MoMu</v>
      </c>
      <c r="BR16" s="14" t="str">
        <f t="shared" si="10"/>
        <v/>
      </c>
      <c r="BS16" s="14" t="str">
        <f>IFERROR(INDEX($BQ$6:$BQ$10,_xlfn.AGGREGATE(15,6,ROW($BQ$6:$BQ$10)/($BQ$6:$BQ$10&lt;&gt;""),ROW(#REF!))-5),"")</f>
        <v/>
      </c>
      <c r="BT16" s="14" t="str">
        <f t="shared" si="35"/>
        <v/>
      </c>
      <c r="BV16" s="14" t="str">
        <f>IF(AND($B16="Moderado",$C16="Alto"),"11MoAl","")</f>
        <v/>
      </c>
      <c r="BW16" s="14" t="str">
        <f t="shared" si="11"/>
        <v/>
      </c>
      <c r="BX16" s="14" t="str">
        <f>IFERROR(INDEX($BV$6:$BV$30,_xlfn.AGGREGATE(15,6,ROW($BV$6:$BV$30)/($BV$6:$BV$30&lt;&gt;""),ROW(#REF!))-5),"")</f>
        <v/>
      </c>
      <c r="BY16" s="14" t="str">
        <f t="shared" si="36"/>
        <v/>
      </c>
      <c r="CA16" s="14" t="str">
        <f>IF(AND($B16="Moderado",$C16="Moderado"),"11MoMo","")</f>
        <v/>
      </c>
      <c r="CB16" s="14" t="str">
        <f t="shared" si="12"/>
        <v/>
      </c>
      <c r="CC16" s="14" t="str">
        <f>IFERROR(INDEX($CA$6:$CA$30,_xlfn.AGGREGATE(15,6,ROW($CA$6:$CA$30)/($CA$6:$CA$30&lt;&gt;""),ROW(#REF!))-5),"")</f>
        <v/>
      </c>
      <c r="CD16" s="14" t="str">
        <f t="shared" si="37"/>
        <v/>
      </c>
      <c r="CF16" s="14" t="str">
        <f>IF(AND($B16="Moderado",$C16="Baixo"),"11MoBa","")</f>
        <v/>
      </c>
      <c r="CG16" s="14" t="str">
        <f t="shared" si="13"/>
        <v/>
      </c>
      <c r="CH16" s="14" t="str">
        <f>IFERROR(INDEX($CF$6:$CF$30,_xlfn.AGGREGATE(15,6,ROW($CF$6:$CF$30)/($CF$6:$CF$30&lt;&gt;""),ROW(#REF!))-5),"")</f>
        <v/>
      </c>
      <c r="CI16" s="14" t="str">
        <f t="shared" si="38"/>
        <v/>
      </c>
      <c r="CK16" s="14" t="str">
        <f>IF(AND($B16="Moderado",$C16="Desprezível"),"11MoDe","")</f>
        <v/>
      </c>
      <c r="CL16" s="14" t="str">
        <f t="shared" si="14"/>
        <v/>
      </c>
      <c r="CM16" s="14" t="str">
        <f>IFERROR(INDEX($CK$6:$CK$30,_xlfn.AGGREGATE(15,6,ROW($CK$6:$CK$30)/($CK$6:$CK$30&lt;&gt;""),ROW(#REF!))-5),"")</f>
        <v/>
      </c>
      <c r="CN16" s="14" t="str">
        <f t="shared" si="39"/>
        <v/>
      </c>
      <c r="CP16" s="15" t="str">
        <f>IF(AND($B16="Baixo",$C16="Muito Alto"),"11BaMu","")</f>
        <v/>
      </c>
      <c r="CQ16" s="15" t="str">
        <f t="shared" si="15"/>
        <v/>
      </c>
      <c r="CR16" s="15" t="str">
        <f>IFERROR(INDEX($CP$6:$CP$30,_xlfn.AGGREGATE(15,6,ROW($CP$6:$CP$30)/($CP$6:$CP$30&lt;&gt;""),ROW(#REF!))-5),"")</f>
        <v/>
      </c>
      <c r="CS16" s="15" t="str">
        <f t="shared" si="40"/>
        <v/>
      </c>
      <c r="CU16" s="15" t="str">
        <f>IF(AND($B16="Baixo",$C16="Alto"),"11BaAl","")</f>
        <v/>
      </c>
      <c r="CV16" s="15" t="str">
        <f t="shared" si="16"/>
        <v/>
      </c>
      <c r="CW16" s="15" t="str">
        <f>IFERROR(INDEX($CU$6:$CU$30,_xlfn.AGGREGATE(15,6,ROW($CU$6:$CU$30)/($CU$6:$CU$30&lt;&gt;""),ROW(#REF!))-5),"")</f>
        <v/>
      </c>
      <c r="CX16" s="15" t="str">
        <f t="shared" si="41"/>
        <v/>
      </c>
      <c r="CZ16" s="15" t="str">
        <f>IF(AND($B16="Baixo",$C16="Moderado"),"11BaMo","")</f>
        <v/>
      </c>
      <c r="DA16" s="15" t="str">
        <f t="shared" si="17"/>
        <v/>
      </c>
      <c r="DB16" s="15" t="str">
        <f>IFERROR(INDEX($CZ$6:$CZ$30,_xlfn.AGGREGATE(15,6,ROW($CZ$6:$CZ$30)/($CZ$6:$CZ$30&lt;&gt;""),ROW(#REF!))-5),"")</f>
        <v/>
      </c>
      <c r="DC16" s="15" t="str">
        <f t="shared" si="42"/>
        <v/>
      </c>
      <c r="DE16" s="15" t="str">
        <f>IF(AND($B16="Baixo",$C16="Baixo"),"11BaBa","")</f>
        <v/>
      </c>
      <c r="DF16" s="15" t="str">
        <f t="shared" si="18"/>
        <v/>
      </c>
      <c r="DG16" s="15" t="str">
        <f>IFERROR(INDEX($DE$6:$DE$30,_xlfn.AGGREGATE(15,6,ROW($DE$6:$DE$30)/($DE$6:$DE$30&lt;&gt;""),ROW(#REF!))-5),"")</f>
        <v/>
      </c>
      <c r="DH16" s="15" t="str">
        <f t="shared" si="43"/>
        <v/>
      </c>
      <c r="DJ16" s="15" t="str">
        <f>IF(AND($B16="Baixo",$C16="Desprezível"),"11BaDe","")</f>
        <v/>
      </c>
      <c r="DK16" s="15" t="str">
        <f t="shared" si="19"/>
        <v/>
      </c>
      <c r="DL16" s="15" t="str">
        <f>IFERROR(INDEX($DJ$6:$DJ$30,_xlfn.AGGREGATE(15,6,ROW($DJ$6:$DJ$30)/($DJ$6:$DJ$30&lt;&gt;""),ROW(#REF!))-5),"")</f>
        <v/>
      </c>
      <c r="DM16" s="15" t="str">
        <f t="shared" si="44"/>
        <v/>
      </c>
      <c r="DO16" s="16" t="str">
        <f>IF(AND($B16="Desprezível",$C16="Muito Alto"),"11DeMu","")</f>
        <v/>
      </c>
      <c r="DP16" s="16" t="str">
        <f t="shared" si="20"/>
        <v/>
      </c>
      <c r="DQ16" s="16" t="str">
        <f>IFERROR(INDEX($DO$6:$DO$10,_xlfn.AGGREGATE(15,6,ROW($DO$6:$DO$10)/($DO$6:$DO$10&lt;&gt;""),ROW(#REF!))-5),"")</f>
        <v/>
      </c>
      <c r="DR16" s="16" t="str">
        <f t="shared" si="45"/>
        <v/>
      </c>
      <c r="DT16" s="16" t="str">
        <f>IF(AND($B16="Desprezível",$C16="Alto"),"11DeAl","")</f>
        <v/>
      </c>
      <c r="DU16" s="16" t="str">
        <f t="shared" si="21"/>
        <v/>
      </c>
      <c r="DV16" s="16" t="str">
        <f>IFERROR(INDEX($DT$6:$DT$30,_xlfn.AGGREGATE(15,6,ROW($DT$6:$DT$30)/($DT$6:$DT$30&lt;&gt;""),ROW(#REF!))-5),"")</f>
        <v/>
      </c>
      <c r="DW16" s="16" t="str">
        <f t="shared" si="46"/>
        <v/>
      </c>
      <c r="DY16" s="16" t="str">
        <f>IF(AND($B16="Desprezível",$C16="Moderado"),"11DeMo","")</f>
        <v/>
      </c>
      <c r="DZ16" s="16" t="str">
        <f t="shared" si="22"/>
        <v/>
      </c>
      <c r="EA16" s="16" t="str">
        <f>IFERROR(INDEX($DY$6:$DY$30,_xlfn.AGGREGATE(15,6,ROW($DY$6:$DY$30)/($DY$6:$DY$30&lt;&gt;""),ROW(#REF!))-5),"")</f>
        <v/>
      </c>
      <c r="EB16" s="16" t="str">
        <f t="shared" si="47"/>
        <v/>
      </c>
      <c r="ED16" s="16" t="str">
        <f>IF(AND($B16="Desprezível",$C16="Baixo"),"11DeBa","")</f>
        <v/>
      </c>
      <c r="EE16" s="16" t="str">
        <f t="shared" si="23"/>
        <v/>
      </c>
      <c r="EF16" s="16" t="str">
        <f>IFERROR(INDEX($ED$6:$ED$30,_xlfn.AGGREGATE(15,6,ROW($ED$6:$ED$30)/($ED$6:$ED$30&lt;&gt;""),ROW(#REF!))-5),"")</f>
        <v/>
      </c>
      <c r="EG16" s="16" t="str">
        <f t="shared" si="48"/>
        <v/>
      </c>
      <c r="EI16" s="16" t="str">
        <f>IF(AND($B16="Desprezível",$C16="Desprezível"),"11DeDe","")</f>
        <v/>
      </c>
      <c r="EJ16" s="16" t="str">
        <f t="shared" si="24"/>
        <v/>
      </c>
      <c r="EK16" s="16" t="str">
        <f>IFERROR(INDEX($EI$6:$EI$30,_xlfn.AGGREGATE(15,6,ROW($EI$6:$EI$30)/($EI$6:$EI$30&lt;&gt;""),ROW(#REF!))-5),"")</f>
        <v/>
      </c>
      <c r="EL16" s="16" t="str">
        <f t="shared" si="49"/>
        <v/>
      </c>
      <c r="GF16" s="1"/>
      <c r="GG16" s="1"/>
      <c r="GH16" s="1"/>
      <c r="GI16" s="1"/>
      <c r="GJ16" s="1"/>
    </row>
    <row r="17" spans="1:192" ht="28.5" customHeight="1" x14ac:dyDescent="0.25">
      <c r="A17" s="38" t="s">
        <v>14</v>
      </c>
      <c r="B17" s="40" t="s">
        <v>30</v>
      </c>
      <c r="C17" s="40" t="s">
        <v>29</v>
      </c>
      <c r="G17" s="37"/>
      <c r="H17" s="7"/>
      <c r="I17" s="26"/>
      <c r="J17" s="23"/>
      <c r="K17" s="10"/>
      <c r="L17" s="11"/>
      <c r="S17" s="12" t="str">
        <f>IF(AND($B17="Muito Alto",$C17="Muito Alto"),"12MuMu","")</f>
        <v/>
      </c>
      <c r="T17" s="12" t="str">
        <f t="shared" si="0"/>
        <v/>
      </c>
      <c r="U17" s="12" t="str">
        <f>IFERROR(INDEX($S$6:$S$10,_xlfn.AGGREGATE(15,6,ROW($S$6:$S$10)/($S$6:$S$10&lt;&gt;""),ROW(#REF!))-5),"")</f>
        <v/>
      </c>
      <c r="V17" s="12" t="str">
        <f t="shared" si="25"/>
        <v/>
      </c>
      <c r="X17" s="12" t="str">
        <f>IF(AND($B17="Muito Alto",$C17="Alto"),"12MuAl","")</f>
        <v/>
      </c>
      <c r="Y17" s="12" t="str">
        <f t="shared" si="1"/>
        <v/>
      </c>
      <c r="Z17" s="12" t="str">
        <f>IFERROR(INDEX($X$6:$X$30,_xlfn.AGGREGATE(15,6,ROW($X$6:$X$30)/($X$6:$X$30&lt;&gt;""),ROW(#REF!))-5),"")</f>
        <v/>
      </c>
      <c r="AA17" s="12" t="str">
        <f t="shared" si="26"/>
        <v/>
      </c>
      <c r="AC17" s="12" t="str">
        <f>IF(AND($B17="Muito Alto",$C17="Moderado"),"12MuMo","")</f>
        <v/>
      </c>
      <c r="AD17" s="12" t="str">
        <f t="shared" si="2"/>
        <v/>
      </c>
      <c r="AE17" s="12" t="str">
        <f>IFERROR(INDEX($AC$6:$AC$30,_xlfn.AGGREGATE(15,6,ROW($AC$6:$AC$30)/($AC$6:$AC$30&lt;&gt;""),ROW(#REF!))-5),"")</f>
        <v/>
      </c>
      <c r="AF17" s="12" t="str">
        <f t="shared" si="27"/>
        <v/>
      </c>
      <c r="AH17" s="17" t="str">
        <f>IF(AND($B17="Muito Alto",$C17="Baixo"),"12MuBa","")</f>
        <v/>
      </c>
      <c r="AI17" s="12" t="str">
        <f t="shared" si="3"/>
        <v/>
      </c>
      <c r="AJ17" s="12" t="str">
        <f>IFERROR(INDEX($AH$6:$AH$30,_xlfn.AGGREGATE(15,6,ROW($AH$6:$AH$30)/($AH$6:$AH$30&lt;&gt;""),ROW(#REF!))-5),"")</f>
        <v/>
      </c>
      <c r="AK17" s="12" t="str">
        <f t="shared" si="28"/>
        <v/>
      </c>
      <c r="AM17" s="12" t="str">
        <f>IF(AND($B17="Muito Alto",$C17="Desprezível"),"12MuDe","")</f>
        <v/>
      </c>
      <c r="AN17" s="12" t="str">
        <f t="shared" si="4"/>
        <v/>
      </c>
      <c r="AO17" s="12" t="str">
        <f>IFERROR(INDEX($AM$6:$AM$30,_xlfn.AGGREGATE(15,6,ROW($AM$6:$AM$30)/($AM$6:$AM$30&lt;&gt;""),ROW(#REF!))-5),"")</f>
        <v/>
      </c>
      <c r="AP17" s="12" t="str">
        <f t="shared" si="29"/>
        <v/>
      </c>
      <c r="AR17" s="13" t="str">
        <f>IF(AND($B17="Alto",$C17="Muito Alto"),"12AlMu","")</f>
        <v/>
      </c>
      <c r="AS17" s="13" t="str">
        <f t="shared" si="5"/>
        <v/>
      </c>
      <c r="AT17" s="13" t="str">
        <f>IFERROR(INDEX($AR$6:$AR$10,_xlfn.AGGREGATE(15,6,ROW($AR$6:$AR$10)/($AR$6:$AR$10&lt;&gt;""),ROW(#REF!))-5),"")</f>
        <v/>
      </c>
      <c r="AU17" s="13" t="str">
        <f t="shared" si="30"/>
        <v/>
      </c>
      <c r="AW17" s="13" t="str">
        <f>IF(AND($B17="Alto",$C17="Alto"),"12AlAl","")</f>
        <v/>
      </c>
      <c r="AX17" s="13" t="str">
        <f t="shared" si="6"/>
        <v/>
      </c>
      <c r="AY17" s="13" t="str">
        <f>IFERROR(INDEX($AW$6:$AW$30,_xlfn.AGGREGATE(15,6,ROW($AW$6:$AW$30)/($AW$6:$AW$30&lt;&gt;""),ROW(#REF!))-5),"")</f>
        <v/>
      </c>
      <c r="AZ17" s="13" t="str">
        <f t="shared" si="31"/>
        <v/>
      </c>
      <c r="BB17" s="13" t="str">
        <f>IF(AND($B17="Alto",$C17="Moderado"),"12AlMo","")</f>
        <v/>
      </c>
      <c r="BC17" s="13" t="str">
        <f t="shared" si="7"/>
        <v/>
      </c>
      <c r="BD17" s="13" t="str">
        <f>IFERROR(INDEX($BB$6:$BB$30,_xlfn.AGGREGATE(15,6,ROW($BB$6:$BB$30)/($BB$6:$BB$30&lt;&gt;""),ROW(#REF!))-5),"")</f>
        <v/>
      </c>
      <c r="BE17" s="13" t="str">
        <f t="shared" si="32"/>
        <v/>
      </c>
      <c r="BG17" s="13" t="str">
        <f>IF(AND($B17="Alto",$C17="Baixo"),"12AlBa","")</f>
        <v/>
      </c>
      <c r="BH17" s="13" t="str">
        <f t="shared" si="8"/>
        <v/>
      </c>
      <c r="BI17" s="13" t="str">
        <f>IFERROR(INDEX($BG$6:$BG$30,_xlfn.AGGREGATE(15,6,ROW($BG$6:$BG$30)/($BG$6:$BG$30&lt;&gt;""),ROW(#REF!))-5),"")</f>
        <v/>
      </c>
      <c r="BJ17" s="13" t="str">
        <f t="shared" si="33"/>
        <v/>
      </c>
      <c r="BL17" s="13" t="str">
        <f>IF(AND($B17="Alto",$C17="Desprezível"),"12AlDe","")</f>
        <v/>
      </c>
      <c r="BM17" s="13" t="str">
        <f t="shared" si="9"/>
        <v/>
      </c>
      <c r="BN17" s="13" t="str">
        <f>IFERROR(INDEX($BL$6:$BL$30,_xlfn.AGGREGATE(15,6,ROW($BL$6:$BL$30)/($BL$6:$BL$30&lt;&gt;""),ROW(#REF!))-5),"")</f>
        <v/>
      </c>
      <c r="BO17" s="13" t="str">
        <f t="shared" si="34"/>
        <v/>
      </c>
      <c r="BQ17" s="14" t="str">
        <f>IF(AND($B17="Moderado",$C17="Muito Alto"),"12MoMu","")</f>
        <v/>
      </c>
      <c r="BR17" s="14" t="str">
        <f t="shared" si="10"/>
        <v/>
      </c>
      <c r="BS17" s="14" t="str">
        <f>IFERROR(INDEX($BQ$6:$BQ$10,_xlfn.AGGREGATE(15,6,ROW($BQ$6:$BQ$10)/($BQ$6:$BQ$10&lt;&gt;""),ROW(#REF!))-5),"")</f>
        <v/>
      </c>
      <c r="BT17" s="14" t="str">
        <f t="shared" si="35"/>
        <v/>
      </c>
      <c r="BV17" s="14" t="str">
        <f>IF(AND($B17="Moderado",$C17="Alto"),"12MoAl","")</f>
        <v>12MoAl</v>
      </c>
      <c r="BW17" s="14" t="str">
        <f t="shared" si="11"/>
        <v/>
      </c>
      <c r="BX17" s="14" t="str">
        <f>IFERROR(INDEX($BV$6:$BV$30,_xlfn.AGGREGATE(15,6,ROW($BV$6:$BV$30)/($BV$6:$BV$30&lt;&gt;""),ROW(#REF!))-5),"")</f>
        <v/>
      </c>
      <c r="BY17" s="14" t="str">
        <f t="shared" si="36"/>
        <v/>
      </c>
      <c r="CA17" s="14" t="str">
        <f>IF(AND($B17="Moderado",$C17="Moderado"),"12MoMo","")</f>
        <v/>
      </c>
      <c r="CB17" s="14" t="str">
        <f t="shared" si="12"/>
        <v/>
      </c>
      <c r="CC17" s="14" t="str">
        <f>IFERROR(INDEX($CA$6:$CA$30,_xlfn.AGGREGATE(15,6,ROW($CA$6:$CA$30)/($CA$6:$CA$30&lt;&gt;""),ROW(#REF!))-5),"")</f>
        <v/>
      </c>
      <c r="CD17" s="14" t="str">
        <f t="shared" si="37"/>
        <v/>
      </c>
      <c r="CF17" s="14" t="str">
        <f>IF(AND($B17="Moderado",$C17="Baixo"),"12MoBa","")</f>
        <v/>
      </c>
      <c r="CG17" s="14" t="str">
        <f t="shared" si="13"/>
        <v/>
      </c>
      <c r="CH17" s="14" t="str">
        <f>IFERROR(INDEX($CF$6:$CF$30,_xlfn.AGGREGATE(15,6,ROW($CF$6:$CF$30)/($CF$6:$CF$30&lt;&gt;""),ROW(#REF!))-5),"")</f>
        <v/>
      </c>
      <c r="CI17" s="14" t="str">
        <f t="shared" si="38"/>
        <v/>
      </c>
      <c r="CK17" s="14" t="str">
        <f>IF(AND($B17="Moderado",$C17="Desprezível"),"12MoDe","")</f>
        <v/>
      </c>
      <c r="CL17" s="14" t="str">
        <f t="shared" si="14"/>
        <v/>
      </c>
      <c r="CM17" s="14" t="str">
        <f>IFERROR(INDEX($CK$6:$CK$30,_xlfn.AGGREGATE(15,6,ROW($CK$6:$CK$30)/($CK$6:$CK$30&lt;&gt;""),ROW(#REF!))-5),"")</f>
        <v/>
      </c>
      <c r="CN17" s="14" t="str">
        <f t="shared" si="39"/>
        <v/>
      </c>
      <c r="CP17" s="15" t="str">
        <f>IF(AND($B17="Baixo",$C17="Muito Alto"),"12BaMu","")</f>
        <v/>
      </c>
      <c r="CQ17" s="15" t="str">
        <f t="shared" si="15"/>
        <v/>
      </c>
      <c r="CR17" s="15" t="str">
        <f>IFERROR(INDEX($CP$6:$CP$30,_xlfn.AGGREGATE(15,6,ROW($CP$6:$CP$30)/($CP$6:$CP$30&lt;&gt;""),ROW(#REF!))-5),"")</f>
        <v/>
      </c>
      <c r="CS17" s="15" t="str">
        <f t="shared" si="40"/>
        <v/>
      </c>
      <c r="CU17" s="15" t="str">
        <f>IF(AND($B17="Baixo",$C17="Alto"),"12BaAl","")</f>
        <v/>
      </c>
      <c r="CV17" s="15" t="str">
        <f t="shared" si="16"/>
        <v/>
      </c>
      <c r="CW17" s="15" t="str">
        <f>IFERROR(INDEX($CU$6:$CU$30,_xlfn.AGGREGATE(15,6,ROW($CU$6:$CU$30)/($CU$6:$CU$30&lt;&gt;""),ROW(#REF!))-5),"")</f>
        <v/>
      </c>
      <c r="CX17" s="15" t="str">
        <f t="shared" si="41"/>
        <v/>
      </c>
      <c r="CZ17" s="15" t="str">
        <f>IF(AND($B17="Baixo",$C17="Moderado"),"12BaMo","")</f>
        <v/>
      </c>
      <c r="DA17" s="15" t="str">
        <f t="shared" si="17"/>
        <v/>
      </c>
      <c r="DB17" s="15" t="str">
        <f>IFERROR(INDEX($CZ$6:$CZ$30,_xlfn.AGGREGATE(15,6,ROW($CZ$6:$CZ$30)/($CZ$6:$CZ$30&lt;&gt;""),ROW(#REF!))-5),"")</f>
        <v/>
      </c>
      <c r="DC17" s="15" t="str">
        <f t="shared" si="42"/>
        <v/>
      </c>
      <c r="DE17" s="15" t="str">
        <f>IF(AND($B17="Baixo",$C17="Baixo"),"12BaBa","")</f>
        <v/>
      </c>
      <c r="DF17" s="15" t="str">
        <f t="shared" si="18"/>
        <v/>
      </c>
      <c r="DG17" s="15" t="str">
        <f>IFERROR(INDEX($DE$6:$DE$30,_xlfn.AGGREGATE(15,6,ROW($DE$6:$DE$30)/($DE$6:$DE$30&lt;&gt;""),ROW(#REF!))-5),"")</f>
        <v/>
      </c>
      <c r="DH17" s="15" t="str">
        <f t="shared" si="43"/>
        <v/>
      </c>
      <c r="DJ17" s="15" t="str">
        <f>IF(AND($B17="Baixo",$C17="Desprezível"),"12BaDe","")</f>
        <v/>
      </c>
      <c r="DK17" s="15" t="str">
        <f t="shared" si="19"/>
        <v/>
      </c>
      <c r="DL17" s="15" t="str">
        <f>IFERROR(INDEX($DJ$6:$DJ$30,_xlfn.AGGREGATE(15,6,ROW($DJ$6:$DJ$30)/($DJ$6:$DJ$30&lt;&gt;""),ROW(#REF!))-5),"")</f>
        <v/>
      </c>
      <c r="DM17" s="15" t="str">
        <f t="shared" si="44"/>
        <v/>
      </c>
      <c r="DO17" s="16" t="str">
        <f>IF(AND($B17="Desprezível",$C17="Muito Alto"),"12DeMu","")</f>
        <v/>
      </c>
      <c r="DP17" s="16" t="str">
        <f t="shared" si="20"/>
        <v/>
      </c>
      <c r="DQ17" s="16" t="str">
        <f>IFERROR(INDEX($DO$6:$DO$10,_xlfn.AGGREGATE(15,6,ROW($DO$6:$DO$10)/($DO$6:$DO$10&lt;&gt;""),ROW(#REF!))-5),"")</f>
        <v/>
      </c>
      <c r="DR17" s="16" t="str">
        <f t="shared" si="45"/>
        <v/>
      </c>
      <c r="DT17" s="16" t="str">
        <f>IF(AND($B17="Desprezível",$C17="Alto"),"12DeAl","")</f>
        <v/>
      </c>
      <c r="DU17" s="16" t="str">
        <f t="shared" si="21"/>
        <v/>
      </c>
      <c r="DV17" s="16" t="str">
        <f>IFERROR(INDEX($DT$6:$DT$30,_xlfn.AGGREGATE(15,6,ROW($DT$6:$DT$30)/($DT$6:$DT$30&lt;&gt;""),ROW(#REF!))-5),"")</f>
        <v/>
      </c>
      <c r="DW17" s="16" t="str">
        <f t="shared" si="46"/>
        <v/>
      </c>
      <c r="DY17" s="16" t="str">
        <f>IF(AND($B17="Desprezível",$C17="Moderado"),"12DeMo","")</f>
        <v/>
      </c>
      <c r="DZ17" s="16" t="str">
        <f t="shared" si="22"/>
        <v/>
      </c>
      <c r="EA17" s="16" t="str">
        <f>IFERROR(INDEX($DY$6:$DY$30,_xlfn.AGGREGATE(15,6,ROW($DY$6:$DY$30)/($DY$6:$DY$30&lt;&gt;""),ROW(#REF!))-5),"")</f>
        <v/>
      </c>
      <c r="EB17" s="16" t="str">
        <f t="shared" si="47"/>
        <v/>
      </c>
      <c r="ED17" s="16" t="str">
        <f>IF(AND($B17="Desprezível",$C17="Baixo"),"12DeBa","")</f>
        <v/>
      </c>
      <c r="EE17" s="16" t="str">
        <f t="shared" si="23"/>
        <v/>
      </c>
      <c r="EF17" s="16" t="str">
        <f>IFERROR(INDEX($ED$6:$ED$30,_xlfn.AGGREGATE(15,6,ROW($ED$6:$ED$30)/($ED$6:$ED$30&lt;&gt;""),ROW(#REF!))-5),"")</f>
        <v/>
      </c>
      <c r="EG17" s="16" t="str">
        <f t="shared" si="48"/>
        <v/>
      </c>
      <c r="EI17" s="16" t="str">
        <f>IF(AND($B17="Desprezível",$C17="Desprezível"),"12DeDe","")</f>
        <v/>
      </c>
      <c r="EJ17" s="16" t="str">
        <f t="shared" si="24"/>
        <v/>
      </c>
      <c r="EK17" s="16" t="str">
        <f>IFERROR(INDEX($EI$6:$EI$30,_xlfn.AGGREGATE(15,6,ROW($EI$6:$EI$30)/($EI$6:$EI$30&lt;&gt;""),ROW(#REF!))-5),"")</f>
        <v/>
      </c>
      <c r="EL17" s="16" t="str">
        <f t="shared" si="49"/>
        <v/>
      </c>
      <c r="GF17" s="1"/>
      <c r="GG17" s="1"/>
      <c r="GH17" s="1"/>
      <c r="GI17" s="1"/>
      <c r="GJ17" s="1"/>
    </row>
    <row r="18" spans="1:192" ht="28.5" customHeight="1" x14ac:dyDescent="0.25">
      <c r="A18" s="38" t="s">
        <v>15</v>
      </c>
      <c r="B18" s="40" t="s">
        <v>30</v>
      </c>
      <c r="C18" s="40" t="s">
        <v>30</v>
      </c>
      <c r="G18" s="37"/>
      <c r="H18" s="7"/>
      <c r="I18" s="26"/>
      <c r="J18" s="23"/>
      <c r="K18" s="10"/>
      <c r="L18" s="11"/>
      <c r="S18" s="12" t="str">
        <f>IF(AND($B18="Muito Alto",$C18="Muito Alto"),"13MuMu","")</f>
        <v/>
      </c>
      <c r="T18" s="12" t="str">
        <f t="shared" si="0"/>
        <v/>
      </c>
      <c r="U18" s="12" t="str">
        <f>IFERROR(INDEX($S$6:$S$10,_xlfn.AGGREGATE(15,6,ROW($S$6:$S$10)/($S$6:$S$10&lt;&gt;""),ROW(#REF!))-5),"")</f>
        <v/>
      </c>
      <c r="V18" s="12" t="str">
        <f t="shared" si="25"/>
        <v/>
      </c>
      <c r="X18" s="12" t="str">
        <f>IF(AND($B18="Muito Alto",$C18="Alto"),"13MuAl","")</f>
        <v/>
      </c>
      <c r="Y18" s="12" t="str">
        <f t="shared" si="1"/>
        <v/>
      </c>
      <c r="Z18" s="12" t="str">
        <f>IFERROR(INDEX($X$6:$X$30,_xlfn.AGGREGATE(15,6,ROW($X$6:$X$30)/($X$6:$X$30&lt;&gt;""),ROW(#REF!))-5),"")</f>
        <v/>
      </c>
      <c r="AA18" s="12" t="str">
        <f t="shared" si="26"/>
        <v/>
      </c>
      <c r="AC18" s="12" t="str">
        <f>IF(AND($B18="Muito Alto",$C18="Moderado"),"13MuMo","")</f>
        <v/>
      </c>
      <c r="AD18" s="12" t="str">
        <f t="shared" si="2"/>
        <v/>
      </c>
      <c r="AE18" s="12" t="str">
        <f>IFERROR(INDEX($AC$6:$AC$30,_xlfn.AGGREGATE(15,6,ROW($AC$6:$AC$30)/($AC$6:$AC$30&lt;&gt;""),ROW(#REF!))-5),"")</f>
        <v/>
      </c>
      <c r="AF18" s="12" t="str">
        <f t="shared" si="27"/>
        <v/>
      </c>
      <c r="AH18" s="17" t="str">
        <f>IF(AND($B18="Muito Alto",$C18="Baixo"),"13MuBa","")</f>
        <v/>
      </c>
      <c r="AI18" s="12" t="str">
        <f t="shared" si="3"/>
        <v/>
      </c>
      <c r="AJ18" s="12" t="str">
        <f>IFERROR(INDEX($AH$6:$AH$30,_xlfn.AGGREGATE(15,6,ROW($AH$6:$AH$30)/($AH$6:$AH$30&lt;&gt;""),ROW(#REF!))-5),"")</f>
        <v/>
      </c>
      <c r="AK18" s="12" t="str">
        <f t="shared" si="28"/>
        <v/>
      </c>
      <c r="AM18" s="12" t="str">
        <f>IF(AND($B18="Muito Alto",$C18="Desprezível"),"13MuDe","")</f>
        <v/>
      </c>
      <c r="AN18" s="12" t="str">
        <f t="shared" si="4"/>
        <v/>
      </c>
      <c r="AO18" s="12" t="str">
        <f>IFERROR(INDEX($AM$6:$AM$30,_xlfn.AGGREGATE(15,6,ROW($AM$6:$AM$30)/($AM$6:$AM$30&lt;&gt;""),ROW(#REF!))-5),"")</f>
        <v/>
      </c>
      <c r="AP18" s="12" t="str">
        <f t="shared" si="29"/>
        <v/>
      </c>
      <c r="AR18" s="13" t="str">
        <f>IF(AND($B18="Alto",$C18="Muito Alto"),"13AlMu","")</f>
        <v/>
      </c>
      <c r="AS18" s="13" t="str">
        <f t="shared" si="5"/>
        <v/>
      </c>
      <c r="AT18" s="13" t="str">
        <f>IFERROR(INDEX($AR$6:$AR$10,_xlfn.AGGREGATE(15,6,ROW($AR$6:$AR$10)/($AR$6:$AR$10&lt;&gt;""),ROW(#REF!))-5),"")</f>
        <v/>
      </c>
      <c r="AU18" s="13" t="str">
        <f t="shared" si="30"/>
        <v/>
      </c>
      <c r="AW18" s="13" t="str">
        <f>IF(AND($B18="Alto",$C18="Alto"),"13AlAl","")</f>
        <v/>
      </c>
      <c r="AX18" s="13" t="str">
        <f t="shared" si="6"/>
        <v/>
      </c>
      <c r="AY18" s="13" t="str">
        <f>IFERROR(INDEX($AW$6:$AW$30,_xlfn.AGGREGATE(15,6,ROW($AW$6:$AW$30)/($AW$6:$AW$30&lt;&gt;""),ROW(#REF!))-5),"")</f>
        <v/>
      </c>
      <c r="AZ18" s="13" t="str">
        <f t="shared" si="31"/>
        <v/>
      </c>
      <c r="BB18" s="13" t="str">
        <f>IF(AND($B18="Alto",$C18="Moderado"),"13AlMo","")</f>
        <v/>
      </c>
      <c r="BC18" s="13" t="str">
        <f t="shared" si="7"/>
        <v/>
      </c>
      <c r="BD18" s="13" t="str">
        <f>IFERROR(INDEX($BB$6:$BB$30,_xlfn.AGGREGATE(15,6,ROW($BB$6:$BB$30)/($BB$6:$BB$30&lt;&gt;""),ROW(#REF!))-5),"")</f>
        <v/>
      </c>
      <c r="BE18" s="13" t="str">
        <f t="shared" si="32"/>
        <v/>
      </c>
      <c r="BG18" s="13" t="str">
        <f>IF(AND($B18="Alto",$C18="Baixo"),"13AlBa","")</f>
        <v/>
      </c>
      <c r="BH18" s="13" t="str">
        <f t="shared" si="8"/>
        <v/>
      </c>
      <c r="BI18" s="13" t="str">
        <f>IFERROR(INDEX($BG$6:$BG$30,_xlfn.AGGREGATE(15,6,ROW($BG$6:$BG$30)/($BG$6:$BG$30&lt;&gt;""),ROW(#REF!))-5),"")</f>
        <v/>
      </c>
      <c r="BJ18" s="13" t="str">
        <f t="shared" si="33"/>
        <v/>
      </c>
      <c r="BL18" s="13" t="str">
        <f>IF(AND($B18="Alto",$C18="Desprezível"),"13AlDe","")</f>
        <v/>
      </c>
      <c r="BM18" s="13" t="str">
        <f t="shared" si="9"/>
        <v/>
      </c>
      <c r="BN18" s="13" t="str">
        <f>IFERROR(INDEX($BL$6:$BL$30,_xlfn.AGGREGATE(15,6,ROW($BL$6:$BL$30)/($BL$6:$BL$30&lt;&gt;""),ROW(#REF!))-5),"")</f>
        <v/>
      </c>
      <c r="BO18" s="13" t="str">
        <f t="shared" si="34"/>
        <v/>
      </c>
      <c r="BQ18" s="14" t="str">
        <f>IF(AND($B18="Moderado",$C18="Muito Alto"),"13MoMu","")</f>
        <v/>
      </c>
      <c r="BR18" s="14" t="str">
        <f t="shared" si="10"/>
        <v/>
      </c>
      <c r="BS18" s="14" t="str">
        <f>IFERROR(INDEX($BQ$6:$BQ$10,_xlfn.AGGREGATE(15,6,ROW($BQ$6:$BQ$10)/($BQ$6:$BQ$10&lt;&gt;""),ROW(#REF!))-5),"")</f>
        <v/>
      </c>
      <c r="BT18" s="14" t="str">
        <f t="shared" si="35"/>
        <v/>
      </c>
      <c r="BV18" s="14" t="str">
        <f>IF(AND($B18="Moderado",$C18="Alto"),"13MoAl","")</f>
        <v/>
      </c>
      <c r="BW18" s="14" t="str">
        <f t="shared" si="11"/>
        <v/>
      </c>
      <c r="BX18" s="14" t="str">
        <f>IFERROR(INDEX($BV$6:$BV$30,_xlfn.AGGREGATE(15,6,ROW($BV$6:$BV$30)/($BV$6:$BV$30&lt;&gt;""),ROW(#REF!))-5),"")</f>
        <v/>
      </c>
      <c r="BY18" s="14" t="str">
        <f t="shared" si="36"/>
        <v/>
      </c>
      <c r="CA18" s="14" t="str">
        <f>IF(AND($B18="Moderado",$C18="Moderado"),"13MoMo","")</f>
        <v>13MoMo</v>
      </c>
      <c r="CB18" s="14" t="str">
        <f t="shared" si="12"/>
        <v/>
      </c>
      <c r="CC18" s="14" t="str">
        <f>IFERROR(INDEX($CA$6:$CA$30,_xlfn.AGGREGATE(15,6,ROW($CA$6:$CA$30)/($CA$6:$CA$30&lt;&gt;""),ROW(#REF!))-5),"")</f>
        <v/>
      </c>
      <c r="CD18" s="14" t="str">
        <f t="shared" si="37"/>
        <v/>
      </c>
      <c r="CF18" s="14" t="str">
        <f>IF(AND($B18="Moderado",$C18="Baixo"),"13MoBa","")</f>
        <v/>
      </c>
      <c r="CG18" s="14" t="str">
        <f t="shared" si="13"/>
        <v/>
      </c>
      <c r="CH18" s="14" t="str">
        <f>IFERROR(INDEX($CF$6:$CF$30,_xlfn.AGGREGATE(15,6,ROW($CF$6:$CF$30)/($CF$6:$CF$30&lt;&gt;""),ROW(#REF!))-5),"")</f>
        <v/>
      </c>
      <c r="CI18" s="14" t="str">
        <f t="shared" si="38"/>
        <v/>
      </c>
      <c r="CK18" s="14" t="str">
        <f>IF(AND($B18="Moderado",$C18="Desprezível"),"13MoDe","")</f>
        <v/>
      </c>
      <c r="CL18" s="14" t="str">
        <f t="shared" si="14"/>
        <v/>
      </c>
      <c r="CM18" s="14" t="str">
        <f>IFERROR(INDEX($CK$6:$CK$30,_xlfn.AGGREGATE(15,6,ROW($CK$6:$CK$30)/($CK$6:$CK$30&lt;&gt;""),ROW(#REF!))-5),"")</f>
        <v/>
      </c>
      <c r="CN18" s="14" t="str">
        <f t="shared" si="39"/>
        <v/>
      </c>
      <c r="CP18" s="15" t="str">
        <f>IF(AND($B18="Baixo",$C18="Muito Alto"),"13BaMu","")</f>
        <v/>
      </c>
      <c r="CQ18" s="15" t="str">
        <f t="shared" si="15"/>
        <v/>
      </c>
      <c r="CR18" s="15" t="str">
        <f>IFERROR(INDEX($CP$6:$CP$30,_xlfn.AGGREGATE(15,6,ROW($CP$6:$CP$30)/($CP$6:$CP$30&lt;&gt;""),ROW(#REF!))-5),"")</f>
        <v/>
      </c>
      <c r="CS18" s="15" t="str">
        <f t="shared" si="40"/>
        <v/>
      </c>
      <c r="CU18" s="15" t="str">
        <f>IF(AND($B18="Baixo",$C18="Alto"),"13BaAl","")</f>
        <v/>
      </c>
      <c r="CV18" s="15" t="str">
        <f t="shared" si="16"/>
        <v/>
      </c>
      <c r="CW18" s="15" t="str">
        <f>IFERROR(INDEX($CU$6:$CU$30,_xlfn.AGGREGATE(15,6,ROW($CU$6:$CU$30)/($CU$6:$CU$30&lt;&gt;""),ROW(#REF!))-5),"")</f>
        <v/>
      </c>
      <c r="CX18" s="15" t="str">
        <f t="shared" si="41"/>
        <v/>
      </c>
      <c r="CZ18" s="15" t="str">
        <f>IF(AND($B18="Baixo",$C18="Moderado"),"13BaMo","")</f>
        <v/>
      </c>
      <c r="DA18" s="15" t="str">
        <f t="shared" si="17"/>
        <v/>
      </c>
      <c r="DB18" s="15" t="str">
        <f>IFERROR(INDEX($CZ$6:$CZ$30,_xlfn.AGGREGATE(15,6,ROW($CZ$6:$CZ$30)/($CZ$6:$CZ$30&lt;&gt;""),ROW(#REF!))-5),"")</f>
        <v/>
      </c>
      <c r="DC18" s="15" t="str">
        <f t="shared" si="42"/>
        <v/>
      </c>
      <c r="DE18" s="15" t="str">
        <f>IF(AND($B18="Baixo",$C18="Baixo"),"13BaBa","")</f>
        <v/>
      </c>
      <c r="DF18" s="15" t="str">
        <f t="shared" si="18"/>
        <v/>
      </c>
      <c r="DG18" s="15" t="str">
        <f>IFERROR(INDEX($DE$6:$DE$30,_xlfn.AGGREGATE(15,6,ROW($DE$6:$DE$30)/($DE$6:$DE$30&lt;&gt;""),ROW(#REF!))-5),"")</f>
        <v/>
      </c>
      <c r="DH18" s="15" t="str">
        <f t="shared" si="43"/>
        <v/>
      </c>
      <c r="DJ18" s="15" t="str">
        <f>IF(AND($B18="Baixo",$C18="Desprezível"),"13BaDe","")</f>
        <v/>
      </c>
      <c r="DK18" s="15" t="str">
        <f t="shared" si="19"/>
        <v/>
      </c>
      <c r="DL18" s="15" t="str">
        <f>IFERROR(INDEX($DJ$6:$DJ$30,_xlfn.AGGREGATE(15,6,ROW($DJ$6:$DJ$30)/($DJ$6:$DJ$30&lt;&gt;""),ROW(#REF!))-5),"")</f>
        <v/>
      </c>
      <c r="DM18" s="15" t="str">
        <f t="shared" si="44"/>
        <v/>
      </c>
      <c r="DO18" s="16" t="str">
        <f>IF(AND($B18="Desprezível",$C18="Muito Alto"),"13DeMu","")</f>
        <v/>
      </c>
      <c r="DP18" s="16" t="str">
        <f t="shared" si="20"/>
        <v/>
      </c>
      <c r="DQ18" s="16" t="str">
        <f>IFERROR(INDEX($DO$6:$DO$10,_xlfn.AGGREGATE(15,6,ROW($DO$6:$DO$10)/($DO$6:$DO$10&lt;&gt;""),ROW(#REF!))-5),"")</f>
        <v/>
      </c>
      <c r="DR18" s="16" t="str">
        <f t="shared" si="45"/>
        <v/>
      </c>
      <c r="DT18" s="16" t="str">
        <f>IF(AND($B18="Desprezível",$C18="Alto"),"13DeAl","")</f>
        <v/>
      </c>
      <c r="DU18" s="16" t="str">
        <f t="shared" si="21"/>
        <v/>
      </c>
      <c r="DV18" s="16" t="str">
        <f>IFERROR(INDEX($DT$6:$DT$30,_xlfn.AGGREGATE(15,6,ROW($DT$6:$DT$30)/($DT$6:$DT$30&lt;&gt;""),ROW(#REF!))-5),"")</f>
        <v/>
      </c>
      <c r="DW18" s="16" t="str">
        <f t="shared" si="46"/>
        <v/>
      </c>
      <c r="DY18" s="16" t="str">
        <f>IF(AND($B18="Desprezível",$C18="Moderado"),"13DeMo","")</f>
        <v/>
      </c>
      <c r="DZ18" s="16" t="str">
        <f t="shared" si="22"/>
        <v/>
      </c>
      <c r="EA18" s="16" t="str">
        <f>IFERROR(INDEX($DY$6:$DY$30,_xlfn.AGGREGATE(15,6,ROW($DY$6:$DY$30)/($DY$6:$DY$30&lt;&gt;""),ROW(#REF!))-5),"")</f>
        <v/>
      </c>
      <c r="EB18" s="16" t="str">
        <f t="shared" si="47"/>
        <v/>
      </c>
      <c r="ED18" s="16" t="str">
        <f>IF(AND($B18="Desprezível",$C18="Baixo"),"13DeBa","")</f>
        <v/>
      </c>
      <c r="EE18" s="16" t="str">
        <f t="shared" si="23"/>
        <v/>
      </c>
      <c r="EF18" s="16" t="str">
        <f>IFERROR(INDEX($ED$6:$ED$30,_xlfn.AGGREGATE(15,6,ROW($ED$6:$ED$30)/($ED$6:$ED$30&lt;&gt;""),ROW(#REF!))-5),"")</f>
        <v/>
      </c>
      <c r="EG18" s="16" t="str">
        <f t="shared" si="48"/>
        <v/>
      </c>
      <c r="EI18" s="16" t="str">
        <f>IF(AND($B18="Desprezível",$C18="Desprezível"),"13DeDe","")</f>
        <v/>
      </c>
      <c r="EJ18" s="16" t="str">
        <f t="shared" si="24"/>
        <v/>
      </c>
      <c r="EK18" s="16" t="str">
        <f>IFERROR(INDEX($EI$6:$EI$30,_xlfn.AGGREGATE(15,6,ROW($EI$6:$EI$30)/($EI$6:$EI$30&lt;&gt;""),ROW(#REF!))-5),"")</f>
        <v/>
      </c>
      <c r="EL18" s="16" t="str">
        <f t="shared" si="49"/>
        <v/>
      </c>
      <c r="GF18" s="1"/>
      <c r="GG18" s="1"/>
      <c r="GH18" s="1"/>
      <c r="GI18" s="1"/>
      <c r="GJ18" s="1"/>
    </row>
    <row r="19" spans="1:192" ht="28.5" customHeight="1" x14ac:dyDescent="0.25">
      <c r="A19" s="38" t="s">
        <v>16</v>
      </c>
      <c r="B19" s="40" t="s">
        <v>30</v>
      </c>
      <c r="C19" s="40" t="s">
        <v>31</v>
      </c>
      <c r="G19" s="37"/>
      <c r="H19" s="18"/>
      <c r="I19" s="27"/>
      <c r="J19" s="28"/>
      <c r="K19" s="21"/>
      <c r="L19" s="22"/>
      <c r="S19" s="12" t="str">
        <f>IF(AND($B19="Muito Alto",$C19="Muito Alto"),"14MuMu","")</f>
        <v/>
      </c>
      <c r="T19" s="12" t="str">
        <f t="shared" si="0"/>
        <v/>
      </c>
      <c r="U19" s="12" t="str">
        <f>IFERROR(INDEX($S$6:$S$10,_xlfn.AGGREGATE(15,6,ROW($S$6:$S$10)/($S$6:$S$10&lt;&gt;""),ROW(#REF!))-5),"")</f>
        <v/>
      </c>
      <c r="V19" s="12" t="str">
        <f t="shared" si="25"/>
        <v/>
      </c>
      <c r="X19" s="12" t="str">
        <f>IF(AND($B19="Muito Alto",$C19="Alto"),"14MuAl","")</f>
        <v/>
      </c>
      <c r="Y19" s="12" t="str">
        <f t="shared" si="1"/>
        <v/>
      </c>
      <c r="Z19" s="12" t="str">
        <f>IFERROR(INDEX($X$6:$X$30,_xlfn.AGGREGATE(15,6,ROW($X$6:$X$30)/($X$6:$X$30&lt;&gt;""),ROW(#REF!))-5),"")</f>
        <v/>
      </c>
      <c r="AA19" s="12" t="str">
        <f t="shared" si="26"/>
        <v/>
      </c>
      <c r="AC19" s="12" t="str">
        <f>IF(AND($B19="Muito Alto",$C19="Moderado"),"14MuMo","")</f>
        <v/>
      </c>
      <c r="AD19" s="12" t="str">
        <f t="shared" si="2"/>
        <v/>
      </c>
      <c r="AE19" s="12" t="str">
        <f>IFERROR(INDEX($AC$6:$AC$30,_xlfn.AGGREGATE(15,6,ROW($AC$6:$AC$30)/($AC$6:$AC$30&lt;&gt;""),ROW(#REF!))-5),"")</f>
        <v/>
      </c>
      <c r="AF19" s="12" t="str">
        <f t="shared" si="27"/>
        <v/>
      </c>
      <c r="AH19" s="17" t="str">
        <f>IF(AND($B19="Muito Alto",$C19="Baixo"),"14MuBa","")</f>
        <v/>
      </c>
      <c r="AI19" s="12" t="str">
        <f t="shared" si="3"/>
        <v/>
      </c>
      <c r="AJ19" s="12" t="str">
        <f>IFERROR(INDEX($AH$6:$AH$30,_xlfn.AGGREGATE(15,6,ROW($AH$6:$AH$30)/($AH$6:$AH$30&lt;&gt;""),ROW(#REF!))-5),"")</f>
        <v/>
      </c>
      <c r="AK19" s="12" t="str">
        <f t="shared" si="28"/>
        <v/>
      </c>
      <c r="AM19" s="12" t="str">
        <f>IF(AND($B19="Muito Alto",$C19="Desprezível"),"14MuDe","")</f>
        <v/>
      </c>
      <c r="AN19" s="12" t="str">
        <f t="shared" si="4"/>
        <v/>
      </c>
      <c r="AO19" s="12" t="str">
        <f>IFERROR(INDEX($AM$6:$AM$30,_xlfn.AGGREGATE(15,6,ROW($AM$6:$AM$30)/($AM$6:$AM$30&lt;&gt;""),ROW(#REF!))-5),"")</f>
        <v/>
      </c>
      <c r="AP19" s="12" t="str">
        <f t="shared" si="29"/>
        <v/>
      </c>
      <c r="AR19" s="13" t="str">
        <f>IF(AND($B19="Alto",$C19="Muito Alto"),"14AlMu","")</f>
        <v/>
      </c>
      <c r="AS19" s="13" t="str">
        <f t="shared" si="5"/>
        <v/>
      </c>
      <c r="AT19" s="13" t="str">
        <f>IFERROR(INDEX($AR$6:$AR$10,_xlfn.AGGREGATE(15,6,ROW($AR$6:$AR$10)/($AR$6:$AR$10&lt;&gt;""),ROW(#REF!))-5),"")</f>
        <v/>
      </c>
      <c r="AU19" s="13" t="str">
        <f t="shared" si="30"/>
        <v/>
      </c>
      <c r="AW19" s="13" t="str">
        <f>IF(AND($B19="Alto",$C19="Alto"),"14AlAl","")</f>
        <v/>
      </c>
      <c r="AX19" s="13" t="str">
        <f t="shared" si="6"/>
        <v/>
      </c>
      <c r="AY19" s="13" t="str">
        <f>IFERROR(INDEX($AW$6:$AW$30,_xlfn.AGGREGATE(15,6,ROW($AW$6:$AW$30)/($AW$6:$AW$30&lt;&gt;""),ROW(#REF!))-5),"")</f>
        <v/>
      </c>
      <c r="AZ19" s="13" t="str">
        <f t="shared" si="31"/>
        <v/>
      </c>
      <c r="BB19" s="13" t="str">
        <f>IF(AND($B19="Alto",$C19="Moderado"),"14AlMo","")</f>
        <v/>
      </c>
      <c r="BC19" s="13" t="str">
        <f t="shared" si="7"/>
        <v/>
      </c>
      <c r="BD19" s="13" t="str">
        <f>IFERROR(INDEX($BB$6:$BB$30,_xlfn.AGGREGATE(15,6,ROW($BB$6:$BB$30)/($BB$6:$BB$30&lt;&gt;""),ROW(#REF!))-5),"")</f>
        <v/>
      </c>
      <c r="BE19" s="13" t="str">
        <f t="shared" si="32"/>
        <v/>
      </c>
      <c r="BG19" s="13" t="str">
        <f>IF(AND($B19="Alto",$C19="Baixo"),"14AlBa","")</f>
        <v/>
      </c>
      <c r="BH19" s="13" t="str">
        <f t="shared" si="8"/>
        <v/>
      </c>
      <c r="BI19" s="13" t="str">
        <f>IFERROR(INDEX($BG$6:$BG$30,_xlfn.AGGREGATE(15,6,ROW($BG$6:$BG$30)/($BG$6:$BG$30&lt;&gt;""),ROW(#REF!))-5),"")</f>
        <v/>
      </c>
      <c r="BJ19" s="13" t="str">
        <f t="shared" si="33"/>
        <v/>
      </c>
      <c r="BL19" s="13" t="str">
        <f>IF(AND($B19="Alto",$C19="Desprezível"),"14AlDe","")</f>
        <v/>
      </c>
      <c r="BM19" s="13" t="str">
        <f t="shared" si="9"/>
        <v/>
      </c>
      <c r="BN19" s="13" t="str">
        <f>IFERROR(INDEX($BL$6:$BL$30,_xlfn.AGGREGATE(15,6,ROW($BL$6:$BL$30)/($BL$6:$BL$30&lt;&gt;""),ROW(#REF!))-5),"")</f>
        <v/>
      </c>
      <c r="BO19" s="13" t="str">
        <f t="shared" si="34"/>
        <v/>
      </c>
      <c r="BQ19" s="14" t="str">
        <f>IF(AND($B19="Moderado",$C19="Muito Alto"),"14MoMu","")</f>
        <v/>
      </c>
      <c r="BR19" s="14" t="str">
        <f t="shared" si="10"/>
        <v/>
      </c>
      <c r="BS19" s="14" t="str">
        <f>IFERROR(INDEX($BQ$6:$BQ$10,_xlfn.AGGREGATE(15,6,ROW($BQ$6:$BQ$10)/($BQ$6:$BQ$10&lt;&gt;""),ROW(#REF!))-5),"")</f>
        <v/>
      </c>
      <c r="BT19" s="14" t="str">
        <f t="shared" si="35"/>
        <v/>
      </c>
      <c r="BV19" s="14" t="str">
        <f>IF(AND($B19="Moderado",$C19="Alto"),"14MoAl","")</f>
        <v/>
      </c>
      <c r="BW19" s="14" t="str">
        <f t="shared" si="11"/>
        <v/>
      </c>
      <c r="BX19" s="14" t="str">
        <f>IFERROR(INDEX($BV$6:$BV$30,_xlfn.AGGREGATE(15,6,ROW($BV$6:$BV$30)/($BV$6:$BV$30&lt;&gt;""),ROW(#REF!))-5),"")</f>
        <v/>
      </c>
      <c r="BY19" s="14" t="str">
        <f t="shared" si="36"/>
        <v/>
      </c>
      <c r="CA19" s="14" t="str">
        <f>IF(AND($B19="Moderado",$C19="Moderado"),"14MoMo","")</f>
        <v/>
      </c>
      <c r="CB19" s="14" t="str">
        <f t="shared" si="12"/>
        <v/>
      </c>
      <c r="CC19" s="14" t="str">
        <f>IFERROR(INDEX($CA$6:$CA$30,_xlfn.AGGREGATE(15,6,ROW($CA$6:$CA$30)/($CA$6:$CA$30&lt;&gt;""),ROW(#REF!))-5),"")</f>
        <v/>
      </c>
      <c r="CD19" s="14" t="str">
        <f t="shared" si="37"/>
        <v/>
      </c>
      <c r="CF19" s="14" t="str">
        <f>IF(AND($B19="Moderado",$C19="Baixo"),"14MoBa","")</f>
        <v>14MoBa</v>
      </c>
      <c r="CG19" s="14" t="str">
        <f t="shared" si="13"/>
        <v/>
      </c>
      <c r="CH19" s="14" t="str">
        <f>IFERROR(INDEX($CF$6:$CF$30,_xlfn.AGGREGATE(15,6,ROW($CF$6:$CF$30)/($CF$6:$CF$30&lt;&gt;""),ROW(#REF!))-5),"")</f>
        <v/>
      </c>
      <c r="CI19" s="14" t="str">
        <f t="shared" si="38"/>
        <v/>
      </c>
      <c r="CK19" s="14" t="str">
        <f>IF(AND($B19="Moderado",$C19="Desprezível"),"14MoDe","")</f>
        <v/>
      </c>
      <c r="CL19" s="14" t="str">
        <f t="shared" si="14"/>
        <v/>
      </c>
      <c r="CM19" s="14" t="str">
        <f>IFERROR(INDEX($CK$6:$CK$30,_xlfn.AGGREGATE(15,6,ROW($CK$6:$CK$30)/($CK$6:$CK$30&lt;&gt;""),ROW(#REF!))-5),"")</f>
        <v/>
      </c>
      <c r="CN19" s="14" t="str">
        <f t="shared" si="39"/>
        <v/>
      </c>
      <c r="CP19" s="15" t="str">
        <f>IF(AND($B19="Baixo",$C19="Muito Alto"),"14BaMu","")</f>
        <v/>
      </c>
      <c r="CQ19" s="15" t="str">
        <f t="shared" si="15"/>
        <v/>
      </c>
      <c r="CR19" s="15" t="str">
        <f>IFERROR(INDEX($CP$6:$CP$30,_xlfn.AGGREGATE(15,6,ROW($CP$6:$CP$30)/($CP$6:$CP$30&lt;&gt;""),ROW(#REF!))-5),"")</f>
        <v/>
      </c>
      <c r="CS19" s="15" t="str">
        <f t="shared" si="40"/>
        <v/>
      </c>
      <c r="CU19" s="15" t="str">
        <f>IF(AND($B19="Baixo",$C19="Alto"),"14BaAl","")</f>
        <v/>
      </c>
      <c r="CV19" s="15" t="str">
        <f t="shared" si="16"/>
        <v/>
      </c>
      <c r="CW19" s="15" t="str">
        <f>IFERROR(INDEX($CU$6:$CU$30,_xlfn.AGGREGATE(15,6,ROW($CU$6:$CU$30)/($CU$6:$CU$30&lt;&gt;""),ROW(#REF!))-5),"")</f>
        <v/>
      </c>
      <c r="CX19" s="15" t="str">
        <f t="shared" si="41"/>
        <v/>
      </c>
      <c r="CZ19" s="15" t="str">
        <f>IF(AND($B19="Baixo",$C19="Moderado"),"14BaMo","")</f>
        <v/>
      </c>
      <c r="DA19" s="15" t="str">
        <f t="shared" si="17"/>
        <v/>
      </c>
      <c r="DB19" s="15" t="str">
        <f>IFERROR(INDEX($CZ$6:$CZ$30,_xlfn.AGGREGATE(15,6,ROW($CZ$6:$CZ$30)/($CZ$6:$CZ$30&lt;&gt;""),ROW(#REF!))-5),"")</f>
        <v/>
      </c>
      <c r="DC19" s="15" t="str">
        <f t="shared" si="42"/>
        <v/>
      </c>
      <c r="DE19" s="15" t="str">
        <f>IF(AND($B19="Baixo",$C19="Baixo"),"14BaBa","")</f>
        <v/>
      </c>
      <c r="DF19" s="15" t="str">
        <f t="shared" si="18"/>
        <v/>
      </c>
      <c r="DG19" s="15" t="str">
        <f>IFERROR(INDEX($DE$6:$DE$30,_xlfn.AGGREGATE(15,6,ROW($DE$6:$DE$30)/($DE$6:$DE$30&lt;&gt;""),ROW(#REF!))-5),"")</f>
        <v/>
      </c>
      <c r="DH19" s="15" t="str">
        <f t="shared" si="43"/>
        <v/>
      </c>
      <c r="DJ19" s="15" t="str">
        <f>IF(AND($B19="Baixo",$C19="Desprezível"),"14BaDe","")</f>
        <v/>
      </c>
      <c r="DK19" s="15" t="str">
        <f t="shared" si="19"/>
        <v/>
      </c>
      <c r="DL19" s="15" t="str">
        <f>IFERROR(INDEX($DJ$6:$DJ$30,_xlfn.AGGREGATE(15,6,ROW($DJ$6:$DJ$30)/($DJ$6:$DJ$30&lt;&gt;""),ROW(#REF!))-5),"")</f>
        <v/>
      </c>
      <c r="DM19" s="15" t="str">
        <f t="shared" si="44"/>
        <v/>
      </c>
      <c r="DO19" s="16" t="str">
        <f>IF(AND($B19="Desprezível",$C19="Muito Alto"),"14DeMu","")</f>
        <v/>
      </c>
      <c r="DP19" s="16" t="str">
        <f t="shared" si="20"/>
        <v/>
      </c>
      <c r="DQ19" s="16" t="str">
        <f>IFERROR(INDEX($DO$6:$DO$10,_xlfn.AGGREGATE(15,6,ROW($DO$6:$DO$10)/($DO$6:$DO$10&lt;&gt;""),ROW(#REF!))-5),"")</f>
        <v/>
      </c>
      <c r="DR19" s="16" t="str">
        <f t="shared" si="45"/>
        <v/>
      </c>
      <c r="DT19" s="16" t="str">
        <f>IF(AND($B19="Desprezível",$C19="Alto"),"14DeAl","")</f>
        <v/>
      </c>
      <c r="DU19" s="16" t="str">
        <f t="shared" si="21"/>
        <v/>
      </c>
      <c r="DV19" s="16" t="str">
        <f>IFERROR(INDEX($DT$6:$DT$30,_xlfn.AGGREGATE(15,6,ROW($DT$6:$DT$30)/($DT$6:$DT$30&lt;&gt;""),ROW(#REF!))-5),"")</f>
        <v/>
      </c>
      <c r="DW19" s="16" t="str">
        <f t="shared" si="46"/>
        <v/>
      </c>
      <c r="DY19" s="16" t="str">
        <f>IF(AND($B19="Desprezível",$C19="Moderado"),"14DeMo","")</f>
        <v/>
      </c>
      <c r="DZ19" s="16" t="str">
        <f t="shared" si="22"/>
        <v/>
      </c>
      <c r="EA19" s="16" t="str">
        <f>IFERROR(INDEX($DY$6:$DY$30,_xlfn.AGGREGATE(15,6,ROW($DY$6:$DY$30)/($DY$6:$DY$30&lt;&gt;""),ROW(#REF!))-5),"")</f>
        <v/>
      </c>
      <c r="EB19" s="16" t="str">
        <f t="shared" si="47"/>
        <v/>
      </c>
      <c r="ED19" s="16" t="str">
        <f>IF(AND($B19="Desprezível",$C19="Baixo"),"14DeBa","")</f>
        <v/>
      </c>
      <c r="EE19" s="16" t="str">
        <f t="shared" si="23"/>
        <v/>
      </c>
      <c r="EF19" s="16" t="str">
        <f>IFERROR(INDEX($ED$6:$ED$30,_xlfn.AGGREGATE(15,6,ROW($ED$6:$ED$30)/($ED$6:$ED$30&lt;&gt;""),ROW(#REF!))-5),"")</f>
        <v/>
      </c>
      <c r="EG19" s="16" t="str">
        <f t="shared" si="48"/>
        <v/>
      </c>
      <c r="EI19" s="16" t="str">
        <f>IF(AND($B19="Desprezível",$C19="Desprezível"),"14DeDe","")</f>
        <v/>
      </c>
      <c r="EJ19" s="16" t="str">
        <f t="shared" si="24"/>
        <v/>
      </c>
      <c r="EK19" s="16" t="str">
        <f>IFERROR(INDEX($EI$6:$EI$30,_xlfn.AGGREGATE(15,6,ROW($EI$6:$EI$30)/($EI$6:$EI$30&lt;&gt;""),ROW(#REF!))-5),"")</f>
        <v/>
      </c>
      <c r="EL19" s="16" t="str">
        <f t="shared" si="49"/>
        <v/>
      </c>
      <c r="GF19" s="1"/>
      <c r="GG19" s="1"/>
      <c r="GH19" s="1"/>
      <c r="GI19" s="1"/>
      <c r="GJ19" s="1"/>
    </row>
    <row r="20" spans="1:192" ht="28.5" customHeight="1" x14ac:dyDescent="0.25">
      <c r="A20" s="38" t="s">
        <v>17</v>
      </c>
      <c r="B20" s="40" t="s">
        <v>30</v>
      </c>
      <c r="C20" s="40" t="s">
        <v>32</v>
      </c>
      <c r="G20" s="37"/>
      <c r="H20" s="7" t="s">
        <v>22</v>
      </c>
      <c r="I20" s="26" t="s">
        <v>21</v>
      </c>
      <c r="J20" s="23" t="s">
        <v>20</v>
      </c>
      <c r="K20" s="8" t="s">
        <v>19</v>
      </c>
      <c r="L20" s="11" t="s">
        <v>18</v>
      </c>
      <c r="S20" s="12" t="str">
        <f>IF(AND($B20="Muito Alto",$C20="Muito Alto"),"15MuMu","")</f>
        <v/>
      </c>
      <c r="T20" s="12" t="str">
        <f t="shared" si="0"/>
        <v/>
      </c>
      <c r="U20" s="12" t="str">
        <f>IFERROR(INDEX($S$6:$S$10,_xlfn.AGGREGATE(15,6,ROW($S$6:$S$10)/($S$6:$S$10&lt;&gt;""),ROW(#REF!))-5),"")</f>
        <v/>
      </c>
      <c r="V20" s="12" t="str">
        <f t="shared" si="25"/>
        <v/>
      </c>
      <c r="X20" s="12" t="str">
        <f>IF(AND($B20="Muito Alto",$C20="Alto"),"15MuAl","")</f>
        <v/>
      </c>
      <c r="Y20" s="12" t="str">
        <f t="shared" si="1"/>
        <v/>
      </c>
      <c r="Z20" s="12" t="str">
        <f>IFERROR(INDEX($X$6:$X$30,_xlfn.AGGREGATE(15,6,ROW($X$6:$X$30)/($X$6:$X$30&lt;&gt;""),ROW(#REF!))-5),"")</f>
        <v/>
      </c>
      <c r="AA20" s="12" t="str">
        <f t="shared" si="26"/>
        <v/>
      </c>
      <c r="AC20" s="12" t="str">
        <f>IF(AND($B20="Muito Alto",$C20="Moderado"),"15MuMo","")</f>
        <v/>
      </c>
      <c r="AD20" s="12" t="str">
        <f t="shared" si="2"/>
        <v/>
      </c>
      <c r="AE20" s="12" t="str">
        <f>IFERROR(INDEX($AC$6:$AC$30,_xlfn.AGGREGATE(15,6,ROW($AC$6:$AC$30)/($AC$6:$AC$30&lt;&gt;""),ROW(#REF!))-5),"")</f>
        <v/>
      </c>
      <c r="AF20" s="12" t="str">
        <f t="shared" si="27"/>
        <v/>
      </c>
      <c r="AH20" s="17" t="str">
        <f>IF(AND($B20="Muito Alto",$C20="Baixo"),"15MuBa","")</f>
        <v/>
      </c>
      <c r="AI20" s="12" t="str">
        <f t="shared" si="3"/>
        <v/>
      </c>
      <c r="AJ20" s="12" t="str">
        <f>IFERROR(INDEX($AH$6:$AH$30,_xlfn.AGGREGATE(15,6,ROW($AH$6:$AH$30)/($AH$6:$AH$30&lt;&gt;""),ROW(#REF!))-5),"")</f>
        <v/>
      </c>
      <c r="AK20" s="12" t="str">
        <f t="shared" si="28"/>
        <v/>
      </c>
      <c r="AM20" s="12" t="str">
        <f>IF(AND($B20="Muito Alto",$C20="Desprezível"),"15MuDe","")</f>
        <v/>
      </c>
      <c r="AN20" s="12" t="str">
        <f t="shared" si="4"/>
        <v/>
      </c>
      <c r="AO20" s="12" t="str">
        <f>IFERROR(INDEX($AM$6:$AM$30,_xlfn.AGGREGATE(15,6,ROW($AM$6:$AM$30)/($AM$6:$AM$30&lt;&gt;""),ROW(#REF!))-5),"")</f>
        <v/>
      </c>
      <c r="AP20" s="12" t="str">
        <f t="shared" si="29"/>
        <v/>
      </c>
      <c r="AR20" s="13" t="str">
        <f>IF(AND($B20="Alto",$C20="Muito Alto"),"15AlMu","")</f>
        <v/>
      </c>
      <c r="AS20" s="13" t="str">
        <f t="shared" si="5"/>
        <v/>
      </c>
      <c r="AT20" s="13" t="str">
        <f>IFERROR(INDEX($AR$6:$AR$10,_xlfn.AGGREGATE(15,6,ROW($AR$6:$AR$10)/($AR$6:$AR$10&lt;&gt;""),ROW(#REF!))-5),"")</f>
        <v/>
      </c>
      <c r="AU20" s="13" t="str">
        <f t="shared" si="30"/>
        <v/>
      </c>
      <c r="AW20" s="13" t="str">
        <f>IF(AND($B20="Alto",$C20="Alto"),"15AlAl","")</f>
        <v/>
      </c>
      <c r="AX20" s="13" t="str">
        <f t="shared" si="6"/>
        <v/>
      </c>
      <c r="AY20" s="13" t="str">
        <f>IFERROR(INDEX($AW$6:$AW$30,_xlfn.AGGREGATE(15,6,ROW($AW$6:$AW$30)/($AW$6:$AW$30&lt;&gt;""),ROW(#REF!))-5),"")</f>
        <v/>
      </c>
      <c r="AZ20" s="13" t="str">
        <f t="shared" si="31"/>
        <v/>
      </c>
      <c r="BB20" s="13" t="str">
        <f>IF(AND($B20="Alto",$C20="Moderado"),"15AlMo","")</f>
        <v/>
      </c>
      <c r="BC20" s="13" t="str">
        <f t="shared" si="7"/>
        <v/>
      </c>
      <c r="BD20" s="13" t="str">
        <f>IFERROR(INDEX($BB$6:$BB$30,_xlfn.AGGREGATE(15,6,ROW($BB$6:$BB$30)/($BB$6:$BB$30&lt;&gt;""),ROW(#REF!))-5),"")</f>
        <v/>
      </c>
      <c r="BE20" s="13" t="str">
        <f t="shared" si="32"/>
        <v/>
      </c>
      <c r="BG20" s="13" t="str">
        <f>IF(AND($B20="Alto",$C20="Baixo"),"15AlBa","")</f>
        <v/>
      </c>
      <c r="BH20" s="13" t="str">
        <f t="shared" si="8"/>
        <v/>
      </c>
      <c r="BI20" s="13" t="str">
        <f>IFERROR(INDEX($BG$6:$BG$30,_xlfn.AGGREGATE(15,6,ROW($BG$6:$BG$30)/($BG$6:$BG$30&lt;&gt;""),ROW(#REF!))-5),"")</f>
        <v/>
      </c>
      <c r="BJ20" s="13" t="str">
        <f t="shared" si="33"/>
        <v/>
      </c>
      <c r="BL20" s="13" t="str">
        <f>IF(AND($B20="Alto",$C20="Desprezível"),"15AlDe","")</f>
        <v/>
      </c>
      <c r="BM20" s="13" t="str">
        <f t="shared" si="9"/>
        <v/>
      </c>
      <c r="BN20" s="13" t="str">
        <f>IFERROR(INDEX($BL$6:$BL$30,_xlfn.AGGREGATE(15,6,ROW($BL$6:$BL$30)/($BL$6:$BL$30&lt;&gt;""),ROW(#REF!))-5),"")</f>
        <v/>
      </c>
      <c r="BO20" s="13" t="str">
        <f t="shared" si="34"/>
        <v/>
      </c>
      <c r="BQ20" s="14" t="str">
        <f>IF(AND($B20="Moderado",$C20="Muito Alto"),"15MoMu","")</f>
        <v/>
      </c>
      <c r="BR20" s="14" t="str">
        <f t="shared" si="10"/>
        <v/>
      </c>
      <c r="BS20" s="14" t="str">
        <f>IFERROR(INDEX($BQ$6:$BQ$10,_xlfn.AGGREGATE(15,6,ROW($BQ$6:$BQ$10)/($BQ$6:$BQ$10&lt;&gt;""),ROW(#REF!))-5),"")</f>
        <v/>
      </c>
      <c r="BT20" s="14" t="str">
        <f t="shared" si="35"/>
        <v/>
      </c>
      <c r="BV20" s="14" t="str">
        <f>IF(AND($B20="Moderado",$C20="Alto"),"15MoAl","")</f>
        <v/>
      </c>
      <c r="BW20" s="14" t="str">
        <f t="shared" si="11"/>
        <v/>
      </c>
      <c r="BX20" s="14" t="str">
        <f>IFERROR(INDEX($BV$6:$BV$30,_xlfn.AGGREGATE(15,6,ROW($BV$6:$BV$30)/($BV$6:$BV$30&lt;&gt;""),ROW(#REF!))-5),"")</f>
        <v/>
      </c>
      <c r="BY20" s="14" t="str">
        <f t="shared" si="36"/>
        <v/>
      </c>
      <c r="CA20" s="14" t="str">
        <f>IF(AND($B20="Moderado",$C20="Moderado"),"15MoMo","")</f>
        <v/>
      </c>
      <c r="CB20" s="14" t="str">
        <f t="shared" si="12"/>
        <v/>
      </c>
      <c r="CC20" s="14" t="str">
        <f>IFERROR(INDEX($CA$6:$CA$30,_xlfn.AGGREGATE(15,6,ROW($CA$6:$CA$30)/($CA$6:$CA$30&lt;&gt;""),ROW(#REF!))-5),"")</f>
        <v/>
      </c>
      <c r="CD20" s="14" t="str">
        <f t="shared" si="37"/>
        <v/>
      </c>
      <c r="CF20" s="14" t="str">
        <f>IF(AND($B20="Moderado",$C20="Baixo"),"15MoBa","")</f>
        <v/>
      </c>
      <c r="CG20" s="14" t="str">
        <f t="shared" si="13"/>
        <v/>
      </c>
      <c r="CH20" s="14" t="str">
        <f>IFERROR(INDEX($CF$6:$CF$30,_xlfn.AGGREGATE(15,6,ROW($CF$6:$CF$30)/($CF$6:$CF$30&lt;&gt;""),ROW(#REF!))-5),"")</f>
        <v/>
      </c>
      <c r="CI20" s="14" t="str">
        <f t="shared" si="38"/>
        <v/>
      </c>
      <c r="CK20" s="14" t="str">
        <f>IF(AND($B20="Moderado",$C20="Desprezível"),"15MoDe","")</f>
        <v>15MoDe</v>
      </c>
      <c r="CL20" s="14" t="str">
        <f t="shared" si="14"/>
        <v/>
      </c>
      <c r="CM20" s="14" t="str">
        <f>IFERROR(INDEX($CK$6:$CK$30,_xlfn.AGGREGATE(15,6,ROW($CK$6:$CK$30)/($CK$6:$CK$30&lt;&gt;""),ROW(#REF!))-5),"")</f>
        <v/>
      </c>
      <c r="CN20" s="14" t="str">
        <f t="shared" si="39"/>
        <v/>
      </c>
      <c r="CP20" s="15" t="str">
        <f>IF(AND($B20="Baixo",$C20="Muito Alto"),"15BaMu","")</f>
        <v/>
      </c>
      <c r="CQ20" s="15" t="str">
        <f t="shared" si="15"/>
        <v/>
      </c>
      <c r="CR20" s="15" t="str">
        <f>IFERROR(INDEX($CP$6:$CP$30,_xlfn.AGGREGATE(15,6,ROW($CP$6:$CP$30)/($CP$6:$CP$30&lt;&gt;""),ROW(#REF!))-5),"")</f>
        <v/>
      </c>
      <c r="CS20" s="15" t="str">
        <f t="shared" si="40"/>
        <v/>
      </c>
      <c r="CU20" s="15" t="str">
        <f>IF(AND($B20="Baixo",$C20="Alto"),"15BaAl","")</f>
        <v/>
      </c>
      <c r="CV20" s="15" t="str">
        <f t="shared" si="16"/>
        <v/>
      </c>
      <c r="CW20" s="15" t="str">
        <f>IFERROR(INDEX($CU$6:$CU$30,_xlfn.AGGREGATE(15,6,ROW($CU$6:$CU$30)/($CU$6:$CU$30&lt;&gt;""),ROW(#REF!))-5),"")</f>
        <v/>
      </c>
      <c r="CX20" s="15" t="str">
        <f t="shared" si="41"/>
        <v/>
      </c>
      <c r="CZ20" s="15" t="str">
        <f>IF(AND($B20="Baixo",$C20="Moderado"),"15BaMo","")</f>
        <v/>
      </c>
      <c r="DA20" s="15" t="str">
        <f t="shared" si="17"/>
        <v/>
      </c>
      <c r="DB20" s="15" t="str">
        <f>IFERROR(INDEX($CZ$6:$CZ$30,_xlfn.AGGREGATE(15,6,ROW($CZ$6:$CZ$30)/($CZ$6:$CZ$30&lt;&gt;""),ROW(#REF!))-5),"")</f>
        <v/>
      </c>
      <c r="DC20" s="15" t="str">
        <f t="shared" si="42"/>
        <v/>
      </c>
      <c r="DE20" s="15" t="str">
        <f>IF(AND($B20="Baixo",$C20="Baixo"),"15BaBa","")</f>
        <v/>
      </c>
      <c r="DF20" s="15" t="str">
        <f t="shared" si="18"/>
        <v/>
      </c>
      <c r="DG20" s="15" t="str">
        <f>IFERROR(INDEX($DE$6:$DE$30,_xlfn.AGGREGATE(15,6,ROW($DE$6:$DE$30)/($DE$6:$DE$30&lt;&gt;""),ROW(#REF!))-5),"")</f>
        <v/>
      </c>
      <c r="DH20" s="15" t="str">
        <f t="shared" si="43"/>
        <v/>
      </c>
      <c r="DJ20" s="15" t="str">
        <f>IF(AND($B20="Baixo",$C20="Desprezível"),"15BaDe","")</f>
        <v/>
      </c>
      <c r="DK20" s="15" t="str">
        <f t="shared" si="19"/>
        <v/>
      </c>
      <c r="DL20" s="15" t="str">
        <f>IFERROR(INDEX($DJ$6:$DJ$30,_xlfn.AGGREGATE(15,6,ROW($DJ$6:$DJ$30)/($DJ$6:$DJ$30&lt;&gt;""),ROW(#REF!))-5),"")</f>
        <v/>
      </c>
      <c r="DM20" s="15" t="str">
        <f t="shared" si="44"/>
        <v/>
      </c>
      <c r="DO20" s="16" t="str">
        <f>IF(AND($B20="Desprezível",$C20="Muito Alto"),"15DeMu","")</f>
        <v/>
      </c>
      <c r="DP20" s="16" t="str">
        <f t="shared" si="20"/>
        <v/>
      </c>
      <c r="DQ20" s="16" t="str">
        <f>IFERROR(INDEX($DO$6:$DO$10,_xlfn.AGGREGATE(15,6,ROW($DO$6:$DO$10)/($DO$6:$DO$10&lt;&gt;""),ROW(#REF!))-5),"")</f>
        <v/>
      </c>
      <c r="DR20" s="16" t="str">
        <f t="shared" si="45"/>
        <v/>
      </c>
      <c r="DT20" s="16" t="str">
        <f>IF(AND($B20="Desprezível",$C20="Alto"),"15DeAl","")</f>
        <v/>
      </c>
      <c r="DU20" s="16" t="str">
        <f t="shared" si="21"/>
        <v/>
      </c>
      <c r="DV20" s="16" t="str">
        <f>IFERROR(INDEX($DT$6:$DT$30,_xlfn.AGGREGATE(15,6,ROW($DT$6:$DT$30)/($DT$6:$DT$30&lt;&gt;""),ROW(#REF!))-5),"")</f>
        <v/>
      </c>
      <c r="DW20" s="16" t="str">
        <f t="shared" si="46"/>
        <v/>
      </c>
      <c r="DY20" s="16" t="str">
        <f>IF(AND($B20="Desprezível",$C20="Moderado"),"15DeMo","")</f>
        <v/>
      </c>
      <c r="DZ20" s="16" t="str">
        <f t="shared" si="22"/>
        <v/>
      </c>
      <c r="EA20" s="16" t="str">
        <f>IFERROR(INDEX($DY$6:$DY$30,_xlfn.AGGREGATE(15,6,ROW($DY$6:$DY$30)/($DY$6:$DY$30&lt;&gt;""),ROW(#REF!))-5),"")</f>
        <v/>
      </c>
      <c r="EB20" s="16" t="str">
        <f t="shared" si="47"/>
        <v/>
      </c>
      <c r="ED20" s="16" t="str">
        <f>IF(AND($B20="Desprezível",$C20="Baixo"),"15DeBa","")</f>
        <v/>
      </c>
      <c r="EE20" s="16" t="str">
        <f t="shared" si="23"/>
        <v/>
      </c>
      <c r="EF20" s="16" t="str">
        <f>IFERROR(INDEX($ED$6:$ED$30,_xlfn.AGGREGATE(15,6,ROW($ED$6:$ED$30)/($ED$6:$ED$30&lt;&gt;""),ROW(#REF!))-5),"")</f>
        <v/>
      </c>
      <c r="EG20" s="16" t="str">
        <f t="shared" si="48"/>
        <v/>
      </c>
      <c r="EI20" s="16" t="str">
        <f>IF(AND($B20="Desprezível",$C20="Desprezível"),"15DeDe","")</f>
        <v/>
      </c>
      <c r="EJ20" s="16" t="str">
        <f t="shared" si="24"/>
        <v/>
      </c>
      <c r="EK20" s="16" t="str">
        <f>IFERROR(INDEX($EI$6:$EI$30,_xlfn.AGGREGATE(15,6,ROW($EI$6:$EI$30)/($EI$6:$EI$30&lt;&gt;""),ROW(#REF!))-5),"")</f>
        <v/>
      </c>
      <c r="EL20" s="16" t="str">
        <f t="shared" si="49"/>
        <v/>
      </c>
      <c r="GF20" s="1"/>
      <c r="GG20" s="1"/>
      <c r="GH20" s="1"/>
      <c r="GI20" s="1"/>
      <c r="GJ20" s="1"/>
    </row>
    <row r="21" spans="1:192" ht="28.5" customHeight="1" x14ac:dyDescent="0.25">
      <c r="A21" s="38" t="s">
        <v>18</v>
      </c>
      <c r="B21" s="40" t="s">
        <v>31</v>
      </c>
      <c r="C21" s="39" t="s">
        <v>2</v>
      </c>
      <c r="G21" s="37"/>
      <c r="H21" s="7"/>
      <c r="I21" s="26" t="s">
        <v>33</v>
      </c>
      <c r="J21" s="23"/>
      <c r="K21" s="8"/>
      <c r="L21" s="11"/>
      <c r="S21" s="12" t="str">
        <f>IF(AND($B21="Muito Alto",$C21="Muito Alto"),"16MuMu","")</f>
        <v/>
      </c>
      <c r="T21" s="12" t="str">
        <f t="shared" si="0"/>
        <v/>
      </c>
      <c r="U21" s="12" t="str">
        <f>IFERROR(INDEX($S$6:$S$10,_xlfn.AGGREGATE(15,6,ROW($S$6:$S$10)/($S$6:$S$10&lt;&gt;""),ROW(#REF!))-5),"")</f>
        <v/>
      </c>
      <c r="V21" s="12" t="str">
        <f t="shared" si="25"/>
        <v/>
      </c>
      <c r="X21" s="12" t="str">
        <f>IF(AND($B21="Muito Alto",$C21="Alto"),"16MuAl","")</f>
        <v/>
      </c>
      <c r="Y21" s="12" t="str">
        <f t="shared" si="1"/>
        <v/>
      </c>
      <c r="Z21" s="12" t="str">
        <f>IFERROR(INDEX($X$6:$X$30,_xlfn.AGGREGATE(15,6,ROW($X$6:$X$30)/($X$6:$X$30&lt;&gt;""),ROW(#REF!))-5),"")</f>
        <v/>
      </c>
      <c r="AA21" s="12" t="str">
        <f t="shared" si="26"/>
        <v/>
      </c>
      <c r="AC21" s="12" t="str">
        <f>IF(AND($B21="Muito Alto",$C21="Moderado"),"16MuMo","")</f>
        <v/>
      </c>
      <c r="AD21" s="12" t="str">
        <f t="shared" si="2"/>
        <v/>
      </c>
      <c r="AE21" s="12" t="str">
        <f>IFERROR(INDEX($AC$6:$AC$30,_xlfn.AGGREGATE(15,6,ROW($AC$6:$AC$30)/($AC$6:$AC$30&lt;&gt;""),ROW(#REF!))-5),"")</f>
        <v/>
      </c>
      <c r="AF21" s="12" t="str">
        <f t="shared" si="27"/>
        <v/>
      </c>
      <c r="AH21" s="17" t="str">
        <f>IF(AND($B21="Muito Alto",$C21="Baixo"),"16MuBa","")</f>
        <v/>
      </c>
      <c r="AI21" s="12" t="str">
        <f t="shared" si="3"/>
        <v/>
      </c>
      <c r="AJ21" s="12" t="str">
        <f>IFERROR(INDEX($AH$6:$AH$30,_xlfn.AGGREGATE(15,6,ROW($AH$6:$AH$30)/($AH$6:$AH$30&lt;&gt;""),ROW(#REF!))-5),"")</f>
        <v/>
      </c>
      <c r="AK21" s="12" t="str">
        <f t="shared" si="28"/>
        <v/>
      </c>
      <c r="AM21" s="12" t="str">
        <f>IF(AND($B21="Muito Alto",$C21="Desprezível"),"16MuDe","")</f>
        <v/>
      </c>
      <c r="AN21" s="12" t="str">
        <f t="shared" si="4"/>
        <v/>
      </c>
      <c r="AO21" s="12" t="str">
        <f>IFERROR(INDEX($AM$6:$AM$30,_xlfn.AGGREGATE(15,6,ROW($AM$6:$AM$30)/($AM$6:$AM$30&lt;&gt;""),ROW(#REF!))-5),"")</f>
        <v/>
      </c>
      <c r="AP21" s="12" t="str">
        <f t="shared" si="29"/>
        <v/>
      </c>
      <c r="AR21" s="13" t="str">
        <f>IF(AND($B21="Alto",$C21="Muito Alto"),"16AlMu","")</f>
        <v/>
      </c>
      <c r="AS21" s="13" t="str">
        <f t="shared" si="5"/>
        <v/>
      </c>
      <c r="AT21" s="13" t="str">
        <f>IFERROR(INDEX($AR$6:$AR$10,_xlfn.AGGREGATE(15,6,ROW($AR$6:$AR$10)/($AR$6:$AR$10&lt;&gt;""),ROW(#REF!))-5),"")</f>
        <v/>
      </c>
      <c r="AU21" s="13" t="str">
        <f t="shared" si="30"/>
        <v/>
      </c>
      <c r="AW21" s="13" t="str">
        <f>IF(AND($B21="Alto",$C21="Alto"),"16AlAl","")</f>
        <v/>
      </c>
      <c r="AX21" s="13" t="str">
        <f t="shared" si="6"/>
        <v/>
      </c>
      <c r="AY21" s="13" t="str">
        <f>IFERROR(INDEX($AW$6:$AW$30,_xlfn.AGGREGATE(15,6,ROW($AW$6:$AW$30)/($AW$6:$AW$30&lt;&gt;""),ROW(#REF!))-5),"")</f>
        <v/>
      </c>
      <c r="AZ21" s="13" t="str">
        <f t="shared" si="31"/>
        <v/>
      </c>
      <c r="BB21" s="13" t="str">
        <f>IF(AND($B21="Alto",$C21="Moderado"),"16AlMo","")</f>
        <v/>
      </c>
      <c r="BC21" s="13" t="str">
        <f t="shared" si="7"/>
        <v/>
      </c>
      <c r="BD21" s="13" t="str">
        <f>IFERROR(INDEX($BB$6:$BB$30,_xlfn.AGGREGATE(15,6,ROW($BB$6:$BB$30)/($BB$6:$BB$30&lt;&gt;""),ROW(#REF!))-5),"")</f>
        <v/>
      </c>
      <c r="BE21" s="13" t="str">
        <f t="shared" si="32"/>
        <v/>
      </c>
      <c r="BG21" s="13" t="str">
        <f>IF(AND($B21="Alto",$C21="Baixo"),"16AlBa","")</f>
        <v/>
      </c>
      <c r="BH21" s="13" t="str">
        <f t="shared" si="8"/>
        <v/>
      </c>
      <c r="BI21" s="13" t="str">
        <f>IFERROR(INDEX($BG$6:$BG$30,_xlfn.AGGREGATE(15,6,ROW($BG$6:$BG$30)/($BG$6:$BG$30&lt;&gt;""),ROW(#REF!))-5),"")</f>
        <v/>
      </c>
      <c r="BJ21" s="13" t="str">
        <f t="shared" si="33"/>
        <v/>
      </c>
      <c r="BL21" s="13" t="str">
        <f>IF(AND($B21="Alto",$C21="Desprezível"),"16AlDe","")</f>
        <v/>
      </c>
      <c r="BM21" s="13" t="str">
        <f t="shared" si="9"/>
        <v/>
      </c>
      <c r="BN21" s="13" t="str">
        <f>IFERROR(INDEX($BL$6:$BL$30,_xlfn.AGGREGATE(15,6,ROW($BL$6:$BL$30)/($BL$6:$BL$30&lt;&gt;""),ROW(#REF!))-5),"")</f>
        <v/>
      </c>
      <c r="BO21" s="13" t="str">
        <f t="shared" si="34"/>
        <v/>
      </c>
      <c r="BQ21" s="14" t="str">
        <f>IF(AND($B21="Moderado",$C21="Muito Alto"),"16MoMu","")</f>
        <v/>
      </c>
      <c r="BR21" s="14" t="str">
        <f t="shared" si="10"/>
        <v/>
      </c>
      <c r="BS21" s="14" t="str">
        <f>IFERROR(INDEX($BQ$6:$BQ$10,_xlfn.AGGREGATE(15,6,ROW($BQ$6:$BQ$10)/($BQ$6:$BQ$10&lt;&gt;""),ROW(#REF!))-5),"")</f>
        <v/>
      </c>
      <c r="BT21" s="14" t="str">
        <f t="shared" si="35"/>
        <v/>
      </c>
      <c r="BV21" s="14" t="str">
        <f>IF(AND($B21="Moderado",$C21="Alto"),"16MoAl","")</f>
        <v/>
      </c>
      <c r="BW21" s="14" t="str">
        <f t="shared" si="11"/>
        <v/>
      </c>
      <c r="BX21" s="14" t="str">
        <f>IFERROR(INDEX($BV$6:$BV$30,_xlfn.AGGREGATE(15,6,ROW($BV$6:$BV$30)/($BV$6:$BV$30&lt;&gt;""),ROW(#REF!))-5),"")</f>
        <v/>
      </c>
      <c r="BY21" s="14" t="str">
        <f t="shared" si="36"/>
        <v/>
      </c>
      <c r="CA21" s="14" t="str">
        <f>IF(AND($B21="Moderado",$C21="Moderado"),"16MoMo","")</f>
        <v/>
      </c>
      <c r="CB21" s="14" t="str">
        <f t="shared" si="12"/>
        <v/>
      </c>
      <c r="CC21" s="14" t="str">
        <f>IFERROR(INDEX($CA$6:$CA$30,_xlfn.AGGREGATE(15,6,ROW($CA$6:$CA$30)/($CA$6:$CA$30&lt;&gt;""),ROW(#REF!))-5),"")</f>
        <v/>
      </c>
      <c r="CD21" s="14" t="str">
        <f t="shared" si="37"/>
        <v/>
      </c>
      <c r="CF21" s="14" t="str">
        <f>IF(AND($B21="Moderado",$C21="Baixo"),"16MoBa","")</f>
        <v/>
      </c>
      <c r="CG21" s="14" t="str">
        <f t="shared" si="13"/>
        <v/>
      </c>
      <c r="CH21" s="14" t="str">
        <f>IFERROR(INDEX($CF$6:$CF$30,_xlfn.AGGREGATE(15,6,ROW($CF$6:$CF$30)/($CF$6:$CF$30&lt;&gt;""),ROW(#REF!))-5),"")</f>
        <v/>
      </c>
      <c r="CI21" s="14" t="str">
        <f t="shared" si="38"/>
        <v/>
      </c>
      <c r="CK21" s="14" t="str">
        <f>IF(AND($B21="Moderado",$C21="Desprezível"),"16MoDe","")</f>
        <v/>
      </c>
      <c r="CL21" s="14" t="str">
        <f t="shared" si="14"/>
        <v/>
      </c>
      <c r="CM21" s="14" t="str">
        <f>IFERROR(INDEX($CK$6:$CK$30,_xlfn.AGGREGATE(15,6,ROW($CK$6:$CK$30)/($CK$6:$CK$30&lt;&gt;""),ROW(#REF!))-5),"")</f>
        <v/>
      </c>
      <c r="CN21" s="14" t="str">
        <f t="shared" si="39"/>
        <v/>
      </c>
      <c r="CP21" s="15" t="str">
        <f>IF(AND($B21="Baixo",$C21="Muito Alto"),"16BaMu","")</f>
        <v>16BaMu</v>
      </c>
      <c r="CQ21" s="15" t="str">
        <f t="shared" si="15"/>
        <v/>
      </c>
      <c r="CR21" s="15" t="str">
        <f>IFERROR(INDEX($CP$6:$CP$30,_xlfn.AGGREGATE(15,6,ROW($CP$6:$CP$30)/($CP$6:$CP$30&lt;&gt;""),ROW(#REF!))-5),"")</f>
        <v/>
      </c>
      <c r="CS21" s="15" t="str">
        <f t="shared" si="40"/>
        <v/>
      </c>
      <c r="CU21" s="15" t="str">
        <f>IF(AND($B21="Baixo",$C21="Alto"),"16BaAl","")</f>
        <v/>
      </c>
      <c r="CV21" s="15" t="str">
        <f t="shared" si="16"/>
        <v/>
      </c>
      <c r="CW21" s="15" t="str">
        <f>IFERROR(INDEX($CU$6:$CU$30,_xlfn.AGGREGATE(15,6,ROW($CU$6:$CU$30)/($CU$6:$CU$30&lt;&gt;""),ROW(#REF!))-5),"")</f>
        <v/>
      </c>
      <c r="CX21" s="15" t="str">
        <f t="shared" si="41"/>
        <v/>
      </c>
      <c r="CZ21" s="15" t="str">
        <f>IF(AND($B21="Baixo",$C21="Moderado"),"16BaMo","")</f>
        <v/>
      </c>
      <c r="DA21" s="15" t="str">
        <f t="shared" si="17"/>
        <v/>
      </c>
      <c r="DB21" s="15" t="str">
        <f>IFERROR(INDEX($CZ$6:$CZ$30,_xlfn.AGGREGATE(15,6,ROW($CZ$6:$CZ$30)/($CZ$6:$CZ$30&lt;&gt;""),ROW(#REF!))-5),"")</f>
        <v/>
      </c>
      <c r="DC21" s="15" t="str">
        <f t="shared" si="42"/>
        <v/>
      </c>
      <c r="DE21" s="15" t="str">
        <f>IF(AND($B21="Baixo",$C21="Baixo"),"16BaBa","")</f>
        <v/>
      </c>
      <c r="DF21" s="15" t="str">
        <f t="shared" si="18"/>
        <v/>
      </c>
      <c r="DG21" s="15" t="str">
        <f>IFERROR(INDEX($DE$6:$DE$30,_xlfn.AGGREGATE(15,6,ROW($DE$6:$DE$30)/($DE$6:$DE$30&lt;&gt;""),ROW(#REF!))-5),"")</f>
        <v/>
      </c>
      <c r="DH21" s="15" t="str">
        <f t="shared" si="43"/>
        <v/>
      </c>
      <c r="DJ21" s="15" t="str">
        <f>IF(AND($B21="Baixo",$C21="Desprezível"),"16BaDe","")</f>
        <v/>
      </c>
      <c r="DK21" s="15" t="str">
        <f t="shared" si="19"/>
        <v/>
      </c>
      <c r="DL21" s="15" t="str">
        <f>IFERROR(INDEX($DJ$6:$DJ$30,_xlfn.AGGREGATE(15,6,ROW($DJ$6:$DJ$30)/($DJ$6:$DJ$30&lt;&gt;""),ROW(#REF!))-5),"")</f>
        <v/>
      </c>
      <c r="DM21" s="15" t="str">
        <f t="shared" si="44"/>
        <v/>
      </c>
      <c r="DO21" s="16" t="str">
        <f>IF(AND($B21="Desprezível",$C21="Muito Alto"),"16DeMu","")</f>
        <v/>
      </c>
      <c r="DP21" s="16" t="str">
        <f t="shared" si="20"/>
        <v/>
      </c>
      <c r="DQ21" s="16" t="str">
        <f>IFERROR(INDEX($DO$6:$DO$10,_xlfn.AGGREGATE(15,6,ROW($DO$6:$DO$10)/($DO$6:$DO$10&lt;&gt;""),ROW(#REF!))-5),"")</f>
        <v/>
      </c>
      <c r="DR21" s="16" t="str">
        <f t="shared" si="45"/>
        <v/>
      </c>
      <c r="DT21" s="16" t="str">
        <f>IF(AND($B21="Desprezível",$C21="Alto"),"16DeAl","")</f>
        <v/>
      </c>
      <c r="DU21" s="16" t="str">
        <f t="shared" si="21"/>
        <v/>
      </c>
      <c r="DV21" s="16" t="str">
        <f>IFERROR(INDEX($DT$6:$DT$30,_xlfn.AGGREGATE(15,6,ROW($DT$6:$DT$30)/($DT$6:$DT$30&lt;&gt;""),ROW(#REF!))-5),"")</f>
        <v/>
      </c>
      <c r="DW21" s="16" t="str">
        <f t="shared" si="46"/>
        <v/>
      </c>
      <c r="DY21" s="16" t="str">
        <f>IF(AND($B21="Desprezível",$C21="Moderado"),"16DeMo","")</f>
        <v/>
      </c>
      <c r="DZ21" s="16" t="str">
        <f t="shared" si="22"/>
        <v/>
      </c>
      <c r="EA21" s="16" t="str">
        <f>IFERROR(INDEX($DY$6:$DY$30,_xlfn.AGGREGATE(15,6,ROW($DY$6:$DY$30)/($DY$6:$DY$30&lt;&gt;""),ROW(#REF!))-5),"")</f>
        <v/>
      </c>
      <c r="EB21" s="16" t="str">
        <f t="shared" si="47"/>
        <v/>
      </c>
      <c r="ED21" s="16" t="str">
        <f>IF(AND($B21="Desprezível",$C21="Baixo"),"16DeBa","")</f>
        <v/>
      </c>
      <c r="EE21" s="16" t="str">
        <f t="shared" si="23"/>
        <v/>
      </c>
      <c r="EF21" s="16" t="str">
        <f>IFERROR(INDEX($ED$6:$ED$30,_xlfn.AGGREGATE(15,6,ROW($ED$6:$ED$30)/($ED$6:$ED$30&lt;&gt;""),ROW(#REF!))-5),"")</f>
        <v/>
      </c>
      <c r="EG21" s="16" t="str">
        <f t="shared" si="48"/>
        <v/>
      </c>
      <c r="EI21" s="16" t="str">
        <f>IF(AND($B21="Desprezível",$C21="Desprezível"),"16DeDe","")</f>
        <v/>
      </c>
      <c r="EJ21" s="16" t="str">
        <f t="shared" si="24"/>
        <v/>
      </c>
      <c r="EK21" s="16" t="str">
        <f>IFERROR(INDEX($EI$6:$EI$30,_xlfn.AGGREGATE(15,6,ROW($EI$6:$EI$30)/($EI$6:$EI$30&lt;&gt;""),ROW(#REF!))-5),"")</f>
        <v/>
      </c>
      <c r="EL21" s="16" t="str">
        <f t="shared" si="49"/>
        <v/>
      </c>
      <c r="GF21" s="1"/>
      <c r="GG21" s="1"/>
      <c r="GH21" s="1"/>
      <c r="GI21" s="1"/>
      <c r="GJ21" s="1"/>
    </row>
    <row r="22" spans="1:192" ht="28.5" customHeight="1" x14ac:dyDescent="0.25">
      <c r="A22" s="38" t="s">
        <v>19</v>
      </c>
      <c r="B22" s="40" t="s">
        <v>31</v>
      </c>
      <c r="C22" s="40" t="s">
        <v>29</v>
      </c>
      <c r="G22" s="37"/>
      <c r="H22" s="7"/>
      <c r="I22" s="26"/>
      <c r="J22" s="23"/>
      <c r="K22" s="8"/>
      <c r="L22" s="11"/>
      <c r="S22" s="12" t="str">
        <f>IF(AND($B22="Muito Alto",$C22="Muito Alto"),"17MuMu","")</f>
        <v/>
      </c>
      <c r="T22" s="12" t="str">
        <f t="shared" si="0"/>
        <v/>
      </c>
      <c r="U22" s="12" t="str">
        <f>IFERROR(INDEX($S$6:$S$10,_xlfn.AGGREGATE(15,6,ROW($S$6:$S$10)/($S$6:$S$10&lt;&gt;""),ROW(#REF!))-5),"")</f>
        <v/>
      </c>
      <c r="V22" s="12" t="str">
        <f t="shared" si="25"/>
        <v/>
      </c>
      <c r="X22" s="12" t="str">
        <f>IF(AND($B22="Muito Alto",$C22="Alto"),"17MuAl","")</f>
        <v/>
      </c>
      <c r="Y22" s="12" t="str">
        <f t="shared" si="1"/>
        <v/>
      </c>
      <c r="Z22" s="12" t="str">
        <f>IFERROR(INDEX($X$6:$X$30,_xlfn.AGGREGATE(15,6,ROW($X$6:$X$30)/($X$6:$X$30&lt;&gt;""),ROW(#REF!))-5),"")</f>
        <v/>
      </c>
      <c r="AA22" s="12" t="str">
        <f t="shared" si="26"/>
        <v/>
      </c>
      <c r="AC22" s="12" t="str">
        <f>IF(AND($B22="Muito Alto",$C22="Moderado"),"17MuMo","")</f>
        <v/>
      </c>
      <c r="AD22" s="12" t="str">
        <f t="shared" si="2"/>
        <v/>
      </c>
      <c r="AE22" s="12" t="str">
        <f>IFERROR(INDEX($AC$6:$AC$30,_xlfn.AGGREGATE(15,6,ROW($AC$6:$AC$30)/($AC$6:$AC$30&lt;&gt;""),ROW(#REF!))-5),"")</f>
        <v/>
      </c>
      <c r="AF22" s="12" t="str">
        <f t="shared" si="27"/>
        <v/>
      </c>
      <c r="AH22" s="17" t="str">
        <f>IF(AND($B22="Muito Alto",$C22="Baixo"),"17MuBa","")</f>
        <v/>
      </c>
      <c r="AI22" s="12" t="str">
        <f t="shared" si="3"/>
        <v/>
      </c>
      <c r="AJ22" s="12" t="str">
        <f>IFERROR(INDEX($AH$6:$AH$30,_xlfn.AGGREGATE(15,6,ROW($AH$6:$AH$30)/($AH$6:$AH$30&lt;&gt;""),ROW(#REF!))-5),"")</f>
        <v/>
      </c>
      <c r="AK22" s="12" t="str">
        <f t="shared" si="28"/>
        <v/>
      </c>
      <c r="AM22" s="12" t="str">
        <f>IF(AND($B22="Muito Alto",$C22="Desprezível"),"17MuDe","")</f>
        <v/>
      </c>
      <c r="AN22" s="12" t="str">
        <f t="shared" si="4"/>
        <v/>
      </c>
      <c r="AO22" s="12" t="str">
        <f>IFERROR(INDEX($AM$6:$AM$30,_xlfn.AGGREGATE(15,6,ROW($AM$6:$AM$30)/($AM$6:$AM$30&lt;&gt;""),ROW(#REF!))-5),"")</f>
        <v/>
      </c>
      <c r="AP22" s="12" t="str">
        <f t="shared" si="29"/>
        <v/>
      </c>
      <c r="AR22" s="13" t="str">
        <f>IF(AND($B22="Alto",$C22="Muito Alto"),"17AlMu","")</f>
        <v/>
      </c>
      <c r="AS22" s="13" t="str">
        <f t="shared" si="5"/>
        <v/>
      </c>
      <c r="AT22" s="13" t="str">
        <f>IFERROR(INDEX($AR$6:$AR$10,_xlfn.AGGREGATE(15,6,ROW($AR$6:$AR$10)/($AR$6:$AR$10&lt;&gt;""),ROW(#REF!))-5),"")</f>
        <v/>
      </c>
      <c r="AU22" s="13" t="str">
        <f t="shared" si="30"/>
        <v/>
      </c>
      <c r="AW22" s="13" t="str">
        <f>IF(AND($B22="Alto",$C22="Alto"),"17AlAl","")</f>
        <v/>
      </c>
      <c r="AX22" s="13" t="str">
        <f t="shared" si="6"/>
        <v/>
      </c>
      <c r="AY22" s="13" t="str">
        <f>IFERROR(INDEX($AW$6:$AW$30,_xlfn.AGGREGATE(15,6,ROW($AW$6:$AW$30)/($AW$6:$AW$30&lt;&gt;""),ROW(#REF!))-5),"")</f>
        <v/>
      </c>
      <c r="AZ22" s="13" t="str">
        <f t="shared" si="31"/>
        <v/>
      </c>
      <c r="BB22" s="13" t="str">
        <f>IF(AND($B22="Alto",$C22="Moderado"),"17AlMo","")</f>
        <v/>
      </c>
      <c r="BC22" s="13" t="str">
        <f t="shared" si="7"/>
        <v/>
      </c>
      <c r="BD22" s="13" t="str">
        <f>IFERROR(INDEX($BB$6:$BB$30,_xlfn.AGGREGATE(15,6,ROW($BB$6:$BB$30)/($BB$6:$BB$30&lt;&gt;""),ROW(#REF!))-5),"")</f>
        <v/>
      </c>
      <c r="BE22" s="13" t="str">
        <f t="shared" si="32"/>
        <v/>
      </c>
      <c r="BG22" s="13" t="str">
        <f>IF(AND($B22="Alto",$C22="Baixo"),"17AlBa","")</f>
        <v/>
      </c>
      <c r="BH22" s="13" t="str">
        <f t="shared" si="8"/>
        <v/>
      </c>
      <c r="BI22" s="13" t="str">
        <f>IFERROR(INDEX($BG$6:$BG$30,_xlfn.AGGREGATE(15,6,ROW($BG$6:$BG$30)/($BG$6:$BG$30&lt;&gt;""),ROW(#REF!))-5),"")</f>
        <v/>
      </c>
      <c r="BJ22" s="13" t="str">
        <f t="shared" si="33"/>
        <v/>
      </c>
      <c r="BL22" s="13" t="str">
        <f>IF(AND($B22="Alto",$C22="Desprezível"),"17AlDe","")</f>
        <v/>
      </c>
      <c r="BM22" s="13" t="str">
        <f t="shared" si="9"/>
        <v/>
      </c>
      <c r="BN22" s="13" t="str">
        <f>IFERROR(INDEX($BL$6:$BL$30,_xlfn.AGGREGATE(15,6,ROW($BL$6:$BL$30)/($BL$6:$BL$30&lt;&gt;""),ROW(#REF!))-5),"")</f>
        <v/>
      </c>
      <c r="BO22" s="13" t="str">
        <f t="shared" si="34"/>
        <v/>
      </c>
      <c r="BQ22" s="14" t="str">
        <f>IF(AND($B22="Moderado",$C22="Muito Alto"),"17MoMu","")</f>
        <v/>
      </c>
      <c r="BR22" s="14" t="str">
        <f t="shared" si="10"/>
        <v/>
      </c>
      <c r="BS22" s="14" t="str">
        <f>IFERROR(INDEX($BQ$6:$BQ$10,_xlfn.AGGREGATE(15,6,ROW($BQ$6:$BQ$10)/($BQ$6:$BQ$10&lt;&gt;""),ROW(#REF!))-5),"")</f>
        <v/>
      </c>
      <c r="BT22" s="14" t="str">
        <f t="shared" si="35"/>
        <v/>
      </c>
      <c r="BV22" s="14" t="str">
        <f>IF(AND($B22="Moderado",$C22="Alto"),"17MoAl","")</f>
        <v/>
      </c>
      <c r="BW22" s="14" t="str">
        <f t="shared" si="11"/>
        <v/>
      </c>
      <c r="BX22" s="14" t="str">
        <f>IFERROR(INDEX($BV$6:$BV$30,_xlfn.AGGREGATE(15,6,ROW($BV$6:$BV$30)/($BV$6:$BV$30&lt;&gt;""),ROW(#REF!))-5),"")</f>
        <v/>
      </c>
      <c r="BY22" s="14" t="str">
        <f t="shared" si="36"/>
        <v/>
      </c>
      <c r="CA22" s="14" t="str">
        <f>IF(AND($B22="Moderado",$C22="Moderado"),"17MoMo","")</f>
        <v/>
      </c>
      <c r="CB22" s="14" t="str">
        <f t="shared" si="12"/>
        <v/>
      </c>
      <c r="CC22" s="14" t="str">
        <f>IFERROR(INDEX($CA$6:$CA$30,_xlfn.AGGREGATE(15,6,ROW($CA$6:$CA$30)/($CA$6:$CA$30&lt;&gt;""),ROW(#REF!))-5),"")</f>
        <v/>
      </c>
      <c r="CD22" s="14" t="str">
        <f t="shared" si="37"/>
        <v/>
      </c>
      <c r="CF22" s="14" t="str">
        <f>IF(AND($B22="Moderado",$C22="Baixo"),"17MoBa","")</f>
        <v/>
      </c>
      <c r="CG22" s="14" t="str">
        <f t="shared" si="13"/>
        <v/>
      </c>
      <c r="CH22" s="14" t="str">
        <f>IFERROR(INDEX($CF$6:$CF$30,_xlfn.AGGREGATE(15,6,ROW($CF$6:$CF$30)/($CF$6:$CF$30&lt;&gt;""),ROW(#REF!))-5),"")</f>
        <v/>
      </c>
      <c r="CI22" s="14" t="str">
        <f t="shared" si="38"/>
        <v/>
      </c>
      <c r="CK22" s="14" t="str">
        <f>IF(AND($B22="Moderado",$C22="Desprezível"),"17MoDe","")</f>
        <v/>
      </c>
      <c r="CL22" s="14" t="str">
        <f t="shared" si="14"/>
        <v/>
      </c>
      <c r="CM22" s="14" t="str">
        <f>IFERROR(INDEX($CK$6:$CK$30,_xlfn.AGGREGATE(15,6,ROW($CK$6:$CK$30)/($CK$6:$CK$30&lt;&gt;""),ROW(#REF!))-5),"")</f>
        <v/>
      </c>
      <c r="CN22" s="14" t="str">
        <f t="shared" si="39"/>
        <v/>
      </c>
      <c r="CP22" s="15" t="str">
        <f>IF(AND($B22="Baixo",$C22="Muito Alto"),"17BaMu","")</f>
        <v/>
      </c>
      <c r="CQ22" s="15" t="str">
        <f t="shared" si="15"/>
        <v/>
      </c>
      <c r="CR22" s="15" t="str">
        <f>IFERROR(INDEX($CP$6:$CP$30,_xlfn.AGGREGATE(15,6,ROW($CP$6:$CP$30)/($CP$6:$CP$30&lt;&gt;""),ROW(#REF!))-5),"")</f>
        <v/>
      </c>
      <c r="CS22" s="15" t="str">
        <f t="shared" si="40"/>
        <v/>
      </c>
      <c r="CU22" s="15" t="str">
        <f>IF(AND($B22="Baixo",$C22="Alto"),"17BaAl","")</f>
        <v>17BaAl</v>
      </c>
      <c r="CV22" s="15" t="str">
        <f t="shared" si="16"/>
        <v/>
      </c>
      <c r="CW22" s="15" t="str">
        <f>IFERROR(INDEX($CU$6:$CU$30,_xlfn.AGGREGATE(15,6,ROW($CU$6:$CU$30)/($CU$6:$CU$30&lt;&gt;""),ROW(#REF!))-5),"")</f>
        <v/>
      </c>
      <c r="CX22" s="15" t="str">
        <f t="shared" si="41"/>
        <v/>
      </c>
      <c r="CZ22" s="15" t="str">
        <f>IF(AND($B22="Baixo",$C22="Moderado"),"17BaMo","")</f>
        <v/>
      </c>
      <c r="DA22" s="15" t="str">
        <f t="shared" si="17"/>
        <v/>
      </c>
      <c r="DB22" s="15" t="str">
        <f>IFERROR(INDEX($CZ$6:$CZ$30,_xlfn.AGGREGATE(15,6,ROW($CZ$6:$CZ$30)/($CZ$6:$CZ$30&lt;&gt;""),ROW(#REF!))-5),"")</f>
        <v/>
      </c>
      <c r="DC22" s="15" t="str">
        <f t="shared" si="42"/>
        <v/>
      </c>
      <c r="DE22" s="15" t="str">
        <f>IF(AND($B22="Baixo",$C22="Baixo"),"17BaBa","")</f>
        <v/>
      </c>
      <c r="DF22" s="15" t="str">
        <f t="shared" si="18"/>
        <v/>
      </c>
      <c r="DG22" s="15" t="str">
        <f>IFERROR(INDEX($DE$6:$DE$30,_xlfn.AGGREGATE(15,6,ROW($DE$6:$DE$30)/($DE$6:$DE$30&lt;&gt;""),ROW(#REF!))-5),"")</f>
        <v/>
      </c>
      <c r="DH22" s="15" t="str">
        <f t="shared" si="43"/>
        <v/>
      </c>
      <c r="DJ22" s="15" t="str">
        <f>IF(AND($B22="Baixo",$C22="Desprezível"),"17BaDe","")</f>
        <v/>
      </c>
      <c r="DK22" s="15" t="str">
        <f t="shared" si="19"/>
        <v/>
      </c>
      <c r="DL22" s="15" t="str">
        <f>IFERROR(INDEX($DJ$6:$DJ$30,_xlfn.AGGREGATE(15,6,ROW($DJ$6:$DJ$30)/($DJ$6:$DJ$30&lt;&gt;""),ROW(#REF!))-5),"")</f>
        <v/>
      </c>
      <c r="DM22" s="15" t="str">
        <f t="shared" si="44"/>
        <v/>
      </c>
      <c r="DO22" s="16" t="str">
        <f>IF(AND($B22="Desprezível",$C22="Muito Alto"),"17DeMu","")</f>
        <v/>
      </c>
      <c r="DP22" s="16" t="str">
        <f t="shared" si="20"/>
        <v/>
      </c>
      <c r="DQ22" s="16" t="str">
        <f>IFERROR(INDEX($DO$6:$DO$10,_xlfn.AGGREGATE(15,6,ROW($DO$6:$DO$10)/($DO$6:$DO$10&lt;&gt;""),ROW(#REF!))-5),"")</f>
        <v/>
      </c>
      <c r="DR22" s="16" t="str">
        <f t="shared" si="45"/>
        <v/>
      </c>
      <c r="DT22" s="16" t="str">
        <f>IF(AND($B22="Desprezível",$C22="Alto"),"17DeAl","")</f>
        <v/>
      </c>
      <c r="DU22" s="16" t="str">
        <f t="shared" si="21"/>
        <v/>
      </c>
      <c r="DV22" s="16" t="str">
        <f>IFERROR(INDEX($DT$6:$DT$30,_xlfn.AGGREGATE(15,6,ROW($DT$6:$DT$30)/($DT$6:$DT$30&lt;&gt;""),ROW(#REF!))-5),"")</f>
        <v/>
      </c>
      <c r="DW22" s="16" t="str">
        <f t="shared" si="46"/>
        <v/>
      </c>
      <c r="DY22" s="16" t="str">
        <f>IF(AND($B22="Desprezível",$C22="Moderado"),"17DeMo","")</f>
        <v/>
      </c>
      <c r="DZ22" s="16" t="str">
        <f t="shared" si="22"/>
        <v/>
      </c>
      <c r="EA22" s="16" t="str">
        <f>IFERROR(INDEX($DY$6:$DY$30,_xlfn.AGGREGATE(15,6,ROW($DY$6:$DY$30)/($DY$6:$DY$30&lt;&gt;""),ROW(#REF!))-5),"")</f>
        <v/>
      </c>
      <c r="EB22" s="16" t="str">
        <f t="shared" si="47"/>
        <v/>
      </c>
      <c r="ED22" s="16" t="str">
        <f>IF(AND($B22="Desprezível",$C22="Baixo"),"17DeBa","")</f>
        <v/>
      </c>
      <c r="EE22" s="16" t="str">
        <f t="shared" si="23"/>
        <v/>
      </c>
      <c r="EF22" s="16" t="str">
        <f>IFERROR(INDEX($ED$6:$ED$30,_xlfn.AGGREGATE(15,6,ROW($ED$6:$ED$30)/($ED$6:$ED$30&lt;&gt;""),ROW(#REF!))-5),"")</f>
        <v/>
      </c>
      <c r="EG22" s="16" t="str">
        <f t="shared" si="48"/>
        <v/>
      </c>
      <c r="EI22" s="16" t="str">
        <f>IF(AND($B22="Desprezível",$C22="Desprezível"),"17DeDe","")</f>
        <v/>
      </c>
      <c r="EJ22" s="16" t="str">
        <f t="shared" si="24"/>
        <v/>
      </c>
      <c r="EK22" s="16" t="str">
        <f>IFERROR(INDEX($EI$6:$EI$30,_xlfn.AGGREGATE(15,6,ROW($EI$6:$EI$30)/($EI$6:$EI$30&lt;&gt;""),ROW(#REF!))-5),"")</f>
        <v/>
      </c>
      <c r="EL22" s="16" t="str">
        <f t="shared" si="49"/>
        <v/>
      </c>
      <c r="GF22" s="1"/>
      <c r="GG22" s="1"/>
      <c r="GH22" s="1"/>
      <c r="GI22" s="1"/>
      <c r="GJ22" s="1"/>
    </row>
    <row r="23" spans="1:192" ht="28.5" customHeight="1" x14ac:dyDescent="0.25">
      <c r="A23" s="38" t="s">
        <v>20</v>
      </c>
      <c r="B23" s="40" t="s">
        <v>31</v>
      </c>
      <c r="C23" s="40" t="s">
        <v>30</v>
      </c>
      <c r="G23" s="37"/>
      <c r="H23" s="7"/>
      <c r="I23" s="26"/>
      <c r="J23" s="23"/>
      <c r="K23" s="8"/>
      <c r="L23" s="11"/>
      <c r="S23" s="12" t="str">
        <f>IF(AND($B23="Muito Alto",$C23="Muito Alto"),"18MuMu","")</f>
        <v/>
      </c>
      <c r="T23" s="12" t="str">
        <f t="shared" si="0"/>
        <v/>
      </c>
      <c r="U23" s="12" t="str">
        <f>IFERROR(INDEX($S$6:$S$10,_xlfn.AGGREGATE(15,6,ROW($S$6:$S$10)/($S$6:$S$10&lt;&gt;""),ROW(#REF!))-5),"")</f>
        <v/>
      </c>
      <c r="V23" s="12" t="str">
        <f t="shared" si="25"/>
        <v/>
      </c>
      <c r="X23" s="12" t="str">
        <f>IF(AND($B23="Muito Alto",$C23="Alto"),"18MuAl","")</f>
        <v/>
      </c>
      <c r="Y23" s="12" t="str">
        <f t="shared" si="1"/>
        <v/>
      </c>
      <c r="Z23" s="12" t="str">
        <f>IFERROR(INDEX($X$6:$X$30,_xlfn.AGGREGATE(15,6,ROW($X$6:$X$30)/($X$6:$X$30&lt;&gt;""),ROW(#REF!))-5),"")</f>
        <v/>
      </c>
      <c r="AA23" s="12" t="str">
        <f t="shared" si="26"/>
        <v/>
      </c>
      <c r="AC23" s="12" t="str">
        <f>IF(AND($B23="Muito Alto",$C23="Moderado"),"18MuMo","")</f>
        <v/>
      </c>
      <c r="AD23" s="12" t="str">
        <f t="shared" si="2"/>
        <v/>
      </c>
      <c r="AE23" s="12" t="str">
        <f>IFERROR(INDEX($AC$6:$AC$30,_xlfn.AGGREGATE(15,6,ROW($AC$6:$AC$30)/($AC$6:$AC$30&lt;&gt;""),ROW(#REF!))-5),"")</f>
        <v/>
      </c>
      <c r="AF23" s="12" t="str">
        <f t="shared" si="27"/>
        <v/>
      </c>
      <c r="AH23" s="17" t="str">
        <f>IF(AND($B23="Muito Alto",$C23="Baixo"),"18MuBa","")</f>
        <v/>
      </c>
      <c r="AI23" s="12" t="str">
        <f t="shared" si="3"/>
        <v/>
      </c>
      <c r="AJ23" s="12" t="str">
        <f>IFERROR(INDEX($AH$6:$AH$30,_xlfn.AGGREGATE(15,6,ROW($AH$6:$AH$30)/($AH$6:$AH$30&lt;&gt;""),ROW(#REF!))-5),"")</f>
        <v/>
      </c>
      <c r="AK23" s="12" t="str">
        <f t="shared" si="28"/>
        <v/>
      </c>
      <c r="AM23" s="12" t="str">
        <f>IF(AND($B23="Muito Alto",$C23="Desprezível"),"18MuDe","")</f>
        <v/>
      </c>
      <c r="AN23" s="12" t="str">
        <f t="shared" si="4"/>
        <v/>
      </c>
      <c r="AO23" s="12" t="str">
        <f>IFERROR(INDEX($AM$6:$AM$30,_xlfn.AGGREGATE(15,6,ROW($AM$6:$AM$30)/($AM$6:$AM$30&lt;&gt;""),ROW(#REF!))-5),"")</f>
        <v/>
      </c>
      <c r="AP23" s="12" t="str">
        <f t="shared" si="29"/>
        <v/>
      </c>
      <c r="AR23" s="13" t="str">
        <f>IF(AND($B23="Alto",$C23="Muito Alto"),"18AlMu","")</f>
        <v/>
      </c>
      <c r="AS23" s="13" t="str">
        <f t="shared" si="5"/>
        <v/>
      </c>
      <c r="AT23" s="13" t="str">
        <f>IFERROR(INDEX($AR$6:$AR$10,_xlfn.AGGREGATE(15,6,ROW($AR$6:$AR$10)/($AR$6:$AR$10&lt;&gt;""),ROW(#REF!))-5),"")</f>
        <v/>
      </c>
      <c r="AU23" s="13" t="str">
        <f t="shared" si="30"/>
        <v/>
      </c>
      <c r="AW23" s="13" t="str">
        <f>IF(AND($B23="Alto",$C23="Alto"),"18AlAl","")</f>
        <v/>
      </c>
      <c r="AX23" s="13" t="str">
        <f t="shared" si="6"/>
        <v/>
      </c>
      <c r="AY23" s="13" t="str">
        <f>IFERROR(INDEX($AW$6:$AW$30,_xlfn.AGGREGATE(15,6,ROW($AW$6:$AW$30)/($AW$6:$AW$30&lt;&gt;""),ROW(#REF!))-5),"")</f>
        <v/>
      </c>
      <c r="AZ23" s="13" t="str">
        <f t="shared" si="31"/>
        <v/>
      </c>
      <c r="BB23" s="13" t="str">
        <f>IF(AND($B23="Alto",$C23="Moderado"),"18AlMo","")</f>
        <v/>
      </c>
      <c r="BC23" s="13" t="str">
        <f t="shared" si="7"/>
        <v/>
      </c>
      <c r="BD23" s="13" t="str">
        <f>IFERROR(INDEX($BB$6:$BB$30,_xlfn.AGGREGATE(15,6,ROW($BB$6:$BB$30)/($BB$6:$BB$30&lt;&gt;""),ROW(#REF!))-5),"")</f>
        <v/>
      </c>
      <c r="BE23" s="13" t="str">
        <f t="shared" si="32"/>
        <v/>
      </c>
      <c r="BG23" s="13" t="str">
        <f>IF(AND($B23="Alto",$C23="Baixo"),"18AlBa","")</f>
        <v/>
      </c>
      <c r="BH23" s="13" t="str">
        <f t="shared" si="8"/>
        <v/>
      </c>
      <c r="BI23" s="13" t="str">
        <f>IFERROR(INDEX($BG$6:$BG$30,_xlfn.AGGREGATE(15,6,ROW($BG$6:$BG$30)/($BG$6:$BG$30&lt;&gt;""),ROW(#REF!))-5),"")</f>
        <v/>
      </c>
      <c r="BJ23" s="13" t="str">
        <f t="shared" si="33"/>
        <v/>
      </c>
      <c r="BL23" s="13" t="str">
        <f>IF(AND($B23="Alto",$C23="Desprezível"),"18AlDe","")</f>
        <v/>
      </c>
      <c r="BM23" s="13" t="str">
        <f t="shared" si="9"/>
        <v/>
      </c>
      <c r="BN23" s="13" t="str">
        <f>IFERROR(INDEX($BL$6:$BL$30,_xlfn.AGGREGATE(15,6,ROW($BL$6:$BL$30)/($BL$6:$BL$30&lt;&gt;""),ROW(#REF!))-5),"")</f>
        <v/>
      </c>
      <c r="BO23" s="13" t="str">
        <f t="shared" si="34"/>
        <v/>
      </c>
      <c r="BQ23" s="14" t="str">
        <f>IF(AND($B23="Moderado",$C23="Muito Alto"),"18MoMu","")</f>
        <v/>
      </c>
      <c r="BR23" s="14" t="str">
        <f t="shared" si="10"/>
        <v/>
      </c>
      <c r="BS23" s="14" t="str">
        <f>IFERROR(INDEX($BQ$6:$BQ$10,_xlfn.AGGREGATE(15,6,ROW($BQ$6:$BQ$10)/($BQ$6:$BQ$10&lt;&gt;""),ROW(#REF!))-5),"")</f>
        <v/>
      </c>
      <c r="BT23" s="14" t="str">
        <f t="shared" si="35"/>
        <v/>
      </c>
      <c r="BV23" s="14" t="str">
        <f>IF(AND($B23="Moderado",$C23="Alto"),"18MoAl","")</f>
        <v/>
      </c>
      <c r="BW23" s="14" t="str">
        <f t="shared" si="11"/>
        <v/>
      </c>
      <c r="BX23" s="14" t="str">
        <f>IFERROR(INDEX($BV$6:$BV$30,_xlfn.AGGREGATE(15,6,ROW($BV$6:$BV$30)/($BV$6:$BV$30&lt;&gt;""),ROW(#REF!))-5),"")</f>
        <v/>
      </c>
      <c r="BY23" s="14" t="str">
        <f t="shared" si="36"/>
        <v/>
      </c>
      <c r="CA23" s="14" t="str">
        <f>IF(AND($B23="Moderado",$C23="Moderado"),"18MoMo","")</f>
        <v/>
      </c>
      <c r="CB23" s="14" t="str">
        <f t="shared" si="12"/>
        <v/>
      </c>
      <c r="CC23" s="14" t="str">
        <f>IFERROR(INDEX($CA$6:$CA$30,_xlfn.AGGREGATE(15,6,ROW($CA$6:$CA$30)/($CA$6:$CA$30&lt;&gt;""),ROW(#REF!))-5),"")</f>
        <v/>
      </c>
      <c r="CD23" s="14" t="str">
        <f t="shared" si="37"/>
        <v/>
      </c>
      <c r="CF23" s="14" t="str">
        <f>IF(AND($B23="Moderado",$C23="Baixo"),"18MoBa","")</f>
        <v/>
      </c>
      <c r="CG23" s="14" t="str">
        <f t="shared" si="13"/>
        <v/>
      </c>
      <c r="CH23" s="14" t="str">
        <f>IFERROR(INDEX($CF$6:$CF$30,_xlfn.AGGREGATE(15,6,ROW($CF$6:$CF$30)/($CF$6:$CF$30&lt;&gt;""),ROW(#REF!))-5),"")</f>
        <v/>
      </c>
      <c r="CI23" s="14" t="str">
        <f t="shared" si="38"/>
        <v/>
      </c>
      <c r="CK23" s="14" t="str">
        <f>IF(AND($B23="Moderado",$C23="Desprezível"),"18MoDe","")</f>
        <v/>
      </c>
      <c r="CL23" s="14" t="str">
        <f t="shared" si="14"/>
        <v/>
      </c>
      <c r="CM23" s="14" t="str">
        <f>IFERROR(INDEX($CK$6:$CK$30,_xlfn.AGGREGATE(15,6,ROW($CK$6:$CK$30)/($CK$6:$CK$30&lt;&gt;""),ROW(#REF!))-5),"")</f>
        <v/>
      </c>
      <c r="CN23" s="14" t="str">
        <f t="shared" si="39"/>
        <v/>
      </c>
      <c r="CP23" s="15" t="str">
        <f>IF(AND($B23="Baixo",$C23="Muito Alto"),"18BaMu","")</f>
        <v/>
      </c>
      <c r="CQ23" s="15" t="str">
        <f t="shared" si="15"/>
        <v/>
      </c>
      <c r="CR23" s="15" t="str">
        <f>IFERROR(INDEX($CP$6:$CP$30,_xlfn.AGGREGATE(15,6,ROW($CP$6:$CP$30)/($CP$6:$CP$30&lt;&gt;""),ROW(#REF!))-5),"")</f>
        <v/>
      </c>
      <c r="CS23" s="15" t="str">
        <f t="shared" si="40"/>
        <v/>
      </c>
      <c r="CU23" s="15" t="str">
        <f>IF(AND($B23="Baixo",$C23="Alto"),"18BaAl","")</f>
        <v/>
      </c>
      <c r="CV23" s="15" t="str">
        <f t="shared" si="16"/>
        <v/>
      </c>
      <c r="CW23" s="15" t="str">
        <f>IFERROR(INDEX($CU$6:$CU$30,_xlfn.AGGREGATE(15,6,ROW($CU$6:$CU$30)/($CU$6:$CU$30&lt;&gt;""),ROW(#REF!))-5),"")</f>
        <v/>
      </c>
      <c r="CX23" s="15" t="str">
        <f t="shared" si="41"/>
        <v/>
      </c>
      <c r="CZ23" s="15" t="str">
        <f>IF(AND($B23="Baixo",$C23="Moderado"),"18BaMo","")</f>
        <v>18BaMo</v>
      </c>
      <c r="DA23" s="15" t="str">
        <f t="shared" si="17"/>
        <v/>
      </c>
      <c r="DB23" s="15" t="str">
        <f>IFERROR(INDEX($CZ$6:$CZ$30,_xlfn.AGGREGATE(15,6,ROW($CZ$6:$CZ$30)/($CZ$6:$CZ$30&lt;&gt;""),ROW(#REF!))-5),"")</f>
        <v/>
      </c>
      <c r="DC23" s="15" t="str">
        <f t="shared" si="42"/>
        <v/>
      </c>
      <c r="DE23" s="15" t="str">
        <f>IF(AND($B23="Baixo",$C23="Baixo"),"18BaBa","")</f>
        <v/>
      </c>
      <c r="DF23" s="15" t="str">
        <f t="shared" si="18"/>
        <v/>
      </c>
      <c r="DG23" s="15" t="str">
        <f>IFERROR(INDEX($DE$6:$DE$30,_xlfn.AGGREGATE(15,6,ROW($DE$6:$DE$30)/($DE$6:$DE$30&lt;&gt;""),ROW(#REF!))-5),"")</f>
        <v/>
      </c>
      <c r="DH23" s="15" t="str">
        <f t="shared" si="43"/>
        <v/>
      </c>
      <c r="DJ23" s="15" t="str">
        <f>IF(AND($B23="Baixo",$C23="Desprezível"),"18BaDe","")</f>
        <v/>
      </c>
      <c r="DK23" s="15" t="str">
        <f t="shared" si="19"/>
        <v/>
      </c>
      <c r="DL23" s="15" t="str">
        <f>IFERROR(INDEX($DJ$6:$DJ$30,_xlfn.AGGREGATE(15,6,ROW($DJ$6:$DJ$30)/($DJ$6:$DJ$30&lt;&gt;""),ROW(#REF!))-5),"")</f>
        <v/>
      </c>
      <c r="DM23" s="15" t="str">
        <f t="shared" si="44"/>
        <v/>
      </c>
      <c r="DO23" s="16" t="str">
        <f>IF(AND($B23="Desprezível",$C23="Muito Alto"),"18DeMu","")</f>
        <v/>
      </c>
      <c r="DP23" s="16" t="str">
        <f t="shared" si="20"/>
        <v/>
      </c>
      <c r="DQ23" s="16" t="str">
        <f>IFERROR(INDEX($DO$6:$DO$10,_xlfn.AGGREGATE(15,6,ROW($DO$6:$DO$10)/($DO$6:$DO$10&lt;&gt;""),ROW(#REF!))-5),"")</f>
        <v/>
      </c>
      <c r="DR23" s="16" t="str">
        <f t="shared" si="45"/>
        <v/>
      </c>
      <c r="DT23" s="16" t="str">
        <f>IF(AND($B23="Desprezível",$C23="Alto"),"18DeAl","")</f>
        <v/>
      </c>
      <c r="DU23" s="16" t="str">
        <f t="shared" si="21"/>
        <v/>
      </c>
      <c r="DV23" s="16" t="str">
        <f>IFERROR(INDEX($DT$6:$DT$30,_xlfn.AGGREGATE(15,6,ROW($DT$6:$DT$30)/($DT$6:$DT$30&lt;&gt;""),ROW(#REF!))-5),"")</f>
        <v/>
      </c>
      <c r="DW23" s="16" t="str">
        <f t="shared" si="46"/>
        <v/>
      </c>
      <c r="DY23" s="16" t="str">
        <f>IF(AND($B23="Desprezível",$C23="Moderado"),"18DeMo","")</f>
        <v/>
      </c>
      <c r="DZ23" s="16" t="str">
        <f t="shared" si="22"/>
        <v/>
      </c>
      <c r="EA23" s="16" t="str">
        <f>IFERROR(INDEX($DY$6:$DY$30,_xlfn.AGGREGATE(15,6,ROW($DY$6:$DY$30)/($DY$6:$DY$30&lt;&gt;""),ROW(#REF!))-5),"")</f>
        <v/>
      </c>
      <c r="EB23" s="16" t="str">
        <f t="shared" si="47"/>
        <v/>
      </c>
      <c r="ED23" s="16" t="str">
        <f>IF(AND($B23="Desprezível",$C23="Baixo"),"18DeBa","")</f>
        <v/>
      </c>
      <c r="EE23" s="16" t="str">
        <f t="shared" si="23"/>
        <v/>
      </c>
      <c r="EF23" s="16" t="str">
        <f>IFERROR(INDEX($ED$6:$ED$30,_xlfn.AGGREGATE(15,6,ROW($ED$6:$ED$30)/($ED$6:$ED$30&lt;&gt;""),ROW(#REF!))-5),"")</f>
        <v/>
      </c>
      <c r="EG23" s="16" t="str">
        <f t="shared" si="48"/>
        <v/>
      </c>
      <c r="EI23" s="16" t="str">
        <f>IF(AND($B23="Desprezível",$C23="Desprezível"),"18DeDe","")</f>
        <v/>
      </c>
      <c r="EJ23" s="16" t="str">
        <f t="shared" si="24"/>
        <v/>
      </c>
      <c r="EK23" s="16" t="str">
        <f>IFERROR(INDEX($EI$6:$EI$30,_xlfn.AGGREGATE(15,6,ROW($EI$6:$EI$30)/($EI$6:$EI$30&lt;&gt;""),ROW(#REF!))-5),"")</f>
        <v/>
      </c>
      <c r="EL23" s="16" t="str">
        <f t="shared" si="49"/>
        <v/>
      </c>
      <c r="GF23" s="1"/>
      <c r="GG23" s="1"/>
      <c r="GH23" s="1"/>
      <c r="GI23" s="1"/>
      <c r="GJ23" s="1"/>
    </row>
    <row r="24" spans="1:192" ht="28.5" customHeight="1" x14ac:dyDescent="0.25">
      <c r="A24" s="38" t="s">
        <v>21</v>
      </c>
      <c r="B24" s="40" t="s">
        <v>31</v>
      </c>
      <c r="C24" s="40" t="s">
        <v>31</v>
      </c>
      <c r="G24" s="37"/>
      <c r="H24" s="7"/>
      <c r="I24" s="26"/>
      <c r="J24" s="23"/>
      <c r="K24" s="8"/>
      <c r="L24" s="11"/>
      <c r="S24" s="12" t="str">
        <f>IF(AND($B24="Muito Alto",$C24="Muito Alto"),"19MuMu","")</f>
        <v/>
      </c>
      <c r="T24" s="12" t="str">
        <f t="shared" si="0"/>
        <v/>
      </c>
      <c r="U24" s="12" t="str">
        <f>IFERROR(INDEX($S$6:$S$10,_xlfn.AGGREGATE(15,6,ROW($S$6:$S$10)/($S$6:$S$10&lt;&gt;""),ROW(#REF!))-5),"")</f>
        <v/>
      </c>
      <c r="V24" s="12" t="str">
        <f t="shared" si="25"/>
        <v/>
      </c>
      <c r="X24" s="12" t="str">
        <f>IF(AND($B24="Muito Alto",$C24="Alto"),"19MuAl","")</f>
        <v/>
      </c>
      <c r="Y24" s="12" t="str">
        <f t="shared" si="1"/>
        <v/>
      </c>
      <c r="Z24" s="12" t="str">
        <f>IFERROR(INDEX($X$6:$X$30,_xlfn.AGGREGATE(15,6,ROW($X$6:$X$30)/($X$6:$X$30&lt;&gt;""),ROW(#REF!))-5),"")</f>
        <v/>
      </c>
      <c r="AA24" s="12" t="str">
        <f t="shared" si="26"/>
        <v/>
      </c>
      <c r="AC24" s="12" t="str">
        <f>IF(AND($B24="Muito Alto",$C24="Moderado"),"19MuMo","")</f>
        <v/>
      </c>
      <c r="AD24" s="12" t="str">
        <f t="shared" si="2"/>
        <v/>
      </c>
      <c r="AE24" s="12" t="str">
        <f>IFERROR(INDEX($AC$6:$AC$30,_xlfn.AGGREGATE(15,6,ROW($AC$6:$AC$30)/($AC$6:$AC$30&lt;&gt;""),ROW(#REF!))-5),"")</f>
        <v/>
      </c>
      <c r="AF24" s="12" t="str">
        <f t="shared" si="27"/>
        <v/>
      </c>
      <c r="AH24" s="17" t="str">
        <f>IF(AND($B24="Muito Alto",$C24="Baixo"),"19MuBa","")</f>
        <v/>
      </c>
      <c r="AI24" s="12" t="str">
        <f t="shared" si="3"/>
        <v/>
      </c>
      <c r="AJ24" s="12" t="str">
        <f>IFERROR(INDEX($AH$6:$AH$30,_xlfn.AGGREGATE(15,6,ROW($AH$6:$AH$30)/($AH$6:$AH$30&lt;&gt;""),ROW(#REF!))-5),"")</f>
        <v/>
      </c>
      <c r="AK24" s="12" t="str">
        <f t="shared" si="28"/>
        <v/>
      </c>
      <c r="AM24" s="12" t="str">
        <f>IF(AND($B24="Muito Alto",$C24="Desprezível"),"19MuDe","")</f>
        <v/>
      </c>
      <c r="AN24" s="12" t="str">
        <f t="shared" si="4"/>
        <v/>
      </c>
      <c r="AO24" s="12" t="str">
        <f>IFERROR(INDEX($AM$6:$AM$30,_xlfn.AGGREGATE(15,6,ROW($AM$6:$AM$30)/($AM$6:$AM$30&lt;&gt;""),ROW(#REF!))-5),"")</f>
        <v/>
      </c>
      <c r="AP24" s="12" t="str">
        <f t="shared" si="29"/>
        <v/>
      </c>
      <c r="AR24" s="13" t="str">
        <f>IF(AND($B24="Alto",$C24="Muito Alto"),"19AlMu","")</f>
        <v/>
      </c>
      <c r="AS24" s="13" t="str">
        <f t="shared" si="5"/>
        <v/>
      </c>
      <c r="AT24" s="13" t="str">
        <f>IFERROR(INDEX($AR$6:$AR$10,_xlfn.AGGREGATE(15,6,ROW($AR$6:$AR$10)/($AR$6:$AR$10&lt;&gt;""),ROW(#REF!))-5),"")</f>
        <v/>
      </c>
      <c r="AU24" s="13" t="str">
        <f t="shared" si="30"/>
        <v/>
      </c>
      <c r="AW24" s="13" t="str">
        <f>IF(AND($B24="Alto",$C24="Alto"),"19AlAl","")</f>
        <v/>
      </c>
      <c r="AX24" s="13" t="str">
        <f t="shared" si="6"/>
        <v/>
      </c>
      <c r="AY24" s="13" t="str">
        <f>IFERROR(INDEX($AW$6:$AW$30,_xlfn.AGGREGATE(15,6,ROW($AW$6:$AW$30)/($AW$6:$AW$30&lt;&gt;""),ROW(#REF!))-5),"")</f>
        <v/>
      </c>
      <c r="AZ24" s="13" t="str">
        <f t="shared" si="31"/>
        <v/>
      </c>
      <c r="BB24" s="13" t="str">
        <f>IF(AND($B24="Alto",$C24="Moderado"),"19AlMo","")</f>
        <v/>
      </c>
      <c r="BC24" s="13" t="str">
        <f t="shared" si="7"/>
        <v/>
      </c>
      <c r="BD24" s="13" t="str">
        <f>IFERROR(INDEX($BB$6:$BB$30,_xlfn.AGGREGATE(15,6,ROW($BB$6:$BB$30)/($BB$6:$BB$30&lt;&gt;""),ROW(#REF!))-5),"")</f>
        <v/>
      </c>
      <c r="BE24" s="13" t="str">
        <f t="shared" si="32"/>
        <v/>
      </c>
      <c r="BG24" s="13" t="str">
        <f>IF(AND($B24="Alto",$C24="Baixo"),"19AlBa","")</f>
        <v/>
      </c>
      <c r="BH24" s="13" t="str">
        <f t="shared" si="8"/>
        <v/>
      </c>
      <c r="BI24" s="13" t="str">
        <f>IFERROR(INDEX($BG$6:$BG$30,_xlfn.AGGREGATE(15,6,ROW($BG$6:$BG$30)/($BG$6:$BG$30&lt;&gt;""),ROW(#REF!))-5),"")</f>
        <v/>
      </c>
      <c r="BJ24" s="13" t="str">
        <f t="shared" si="33"/>
        <v/>
      </c>
      <c r="BL24" s="13" t="str">
        <f>IF(AND($B24="Alto",$C24="Desprezível"),"19AlDe","")</f>
        <v/>
      </c>
      <c r="BM24" s="13" t="str">
        <f t="shared" si="9"/>
        <v/>
      </c>
      <c r="BN24" s="13" t="str">
        <f>IFERROR(INDEX($BL$6:$BL$30,_xlfn.AGGREGATE(15,6,ROW($BL$6:$BL$30)/($BL$6:$BL$30&lt;&gt;""),ROW(#REF!))-5),"")</f>
        <v/>
      </c>
      <c r="BO24" s="13" t="str">
        <f t="shared" si="34"/>
        <v/>
      </c>
      <c r="BQ24" s="14" t="str">
        <f>IF(AND($B24="Moderado",$C24="Muito Alto"),"19MoMu","")</f>
        <v/>
      </c>
      <c r="BR24" s="14" t="str">
        <f t="shared" si="10"/>
        <v/>
      </c>
      <c r="BS24" s="14" t="str">
        <f>IFERROR(INDEX($BQ$6:$BQ$10,_xlfn.AGGREGATE(15,6,ROW($BQ$6:$BQ$10)/($BQ$6:$BQ$10&lt;&gt;""),ROW(#REF!))-5),"")</f>
        <v/>
      </c>
      <c r="BT24" s="14" t="str">
        <f t="shared" si="35"/>
        <v/>
      </c>
      <c r="BV24" s="14" t="str">
        <f>IF(AND($B24="Moderado",$C24="Alto"),"19MoAl","")</f>
        <v/>
      </c>
      <c r="BW24" s="14" t="str">
        <f t="shared" si="11"/>
        <v/>
      </c>
      <c r="BX24" s="14" t="str">
        <f>IFERROR(INDEX($BV$6:$BV$30,_xlfn.AGGREGATE(15,6,ROW($BV$6:$BV$30)/($BV$6:$BV$30&lt;&gt;""),ROW(#REF!))-5),"")</f>
        <v/>
      </c>
      <c r="BY24" s="14" t="str">
        <f t="shared" si="36"/>
        <v/>
      </c>
      <c r="CA24" s="14" t="str">
        <f>IF(AND($B24="Moderado",$C24="Moderado"),"19MoMo","")</f>
        <v/>
      </c>
      <c r="CB24" s="14" t="str">
        <f t="shared" si="12"/>
        <v/>
      </c>
      <c r="CC24" s="14" t="str">
        <f>IFERROR(INDEX($CA$6:$CA$30,_xlfn.AGGREGATE(15,6,ROW($CA$6:$CA$30)/($CA$6:$CA$30&lt;&gt;""),ROW(#REF!))-5),"")</f>
        <v/>
      </c>
      <c r="CD24" s="14" t="str">
        <f t="shared" si="37"/>
        <v/>
      </c>
      <c r="CF24" s="14" t="str">
        <f>IF(AND($B24="Moderado",$C24="Baixo"),"19MoBa","")</f>
        <v/>
      </c>
      <c r="CG24" s="14" t="str">
        <f t="shared" si="13"/>
        <v/>
      </c>
      <c r="CH24" s="14" t="str">
        <f>IFERROR(INDEX($CF$6:$CF$30,_xlfn.AGGREGATE(15,6,ROW($CF$6:$CF$30)/($CF$6:$CF$30&lt;&gt;""),ROW(#REF!))-5),"")</f>
        <v/>
      </c>
      <c r="CI24" s="14" t="str">
        <f t="shared" si="38"/>
        <v/>
      </c>
      <c r="CK24" s="14" t="str">
        <f>IF(AND($B24="Moderado",$C24="Desprezível"),"19MoDe","")</f>
        <v/>
      </c>
      <c r="CL24" s="14" t="str">
        <f t="shared" si="14"/>
        <v/>
      </c>
      <c r="CM24" s="14" t="str">
        <f>IFERROR(INDEX($CK$6:$CK$30,_xlfn.AGGREGATE(15,6,ROW($CK$6:$CK$30)/($CK$6:$CK$30&lt;&gt;""),ROW(#REF!))-5),"")</f>
        <v/>
      </c>
      <c r="CN24" s="14" t="str">
        <f t="shared" si="39"/>
        <v/>
      </c>
      <c r="CP24" s="15" t="str">
        <f>IF(AND($B24="Baixo",$C24="Muito Alto"),"19BaMu","")</f>
        <v/>
      </c>
      <c r="CQ24" s="15" t="str">
        <f t="shared" si="15"/>
        <v/>
      </c>
      <c r="CR24" s="15" t="str">
        <f>IFERROR(INDEX($CP$6:$CP$30,_xlfn.AGGREGATE(15,6,ROW($CP$6:$CP$30)/($CP$6:$CP$30&lt;&gt;""),ROW(#REF!))-5),"")</f>
        <v/>
      </c>
      <c r="CS24" s="15" t="str">
        <f t="shared" si="40"/>
        <v/>
      </c>
      <c r="CU24" s="15" t="str">
        <f>IF(AND($B24="Baixo",$C24="Alto"),"19BaAl","")</f>
        <v/>
      </c>
      <c r="CV24" s="15" t="str">
        <f t="shared" si="16"/>
        <v/>
      </c>
      <c r="CW24" s="15" t="str">
        <f>IFERROR(INDEX($CU$6:$CU$30,_xlfn.AGGREGATE(15,6,ROW($CU$6:$CU$30)/($CU$6:$CU$30&lt;&gt;""),ROW(#REF!))-5),"")</f>
        <v/>
      </c>
      <c r="CX24" s="15" t="str">
        <f t="shared" si="41"/>
        <v/>
      </c>
      <c r="CZ24" s="15" t="str">
        <f>IF(AND($B24="Baixo",$C24="Moderado"),"19BaMo","")</f>
        <v/>
      </c>
      <c r="DA24" s="15" t="str">
        <f t="shared" si="17"/>
        <v/>
      </c>
      <c r="DB24" s="15" t="str">
        <f>IFERROR(INDEX($CZ$6:$CZ$30,_xlfn.AGGREGATE(15,6,ROW($CZ$6:$CZ$30)/($CZ$6:$CZ$30&lt;&gt;""),ROW(#REF!))-5),"")</f>
        <v/>
      </c>
      <c r="DC24" s="15" t="str">
        <f t="shared" si="42"/>
        <v/>
      </c>
      <c r="DE24" s="15" t="str">
        <f>IF(AND($B24="Baixo",$C24="Baixo"),"19BaBa","")</f>
        <v>19BaBa</v>
      </c>
      <c r="DF24" s="15" t="str">
        <f t="shared" si="18"/>
        <v/>
      </c>
      <c r="DG24" s="15" t="str">
        <f>IFERROR(INDEX($DE$6:$DE$30,_xlfn.AGGREGATE(15,6,ROW($DE$6:$DE$30)/($DE$6:$DE$30&lt;&gt;""),ROW(#REF!))-5),"")</f>
        <v/>
      </c>
      <c r="DH24" s="15" t="str">
        <f t="shared" si="43"/>
        <v/>
      </c>
      <c r="DJ24" s="15" t="str">
        <f>IF(AND($B24="Baixo",$C24="Desprezível"),"19BaDe","")</f>
        <v/>
      </c>
      <c r="DK24" s="15" t="str">
        <f t="shared" si="19"/>
        <v/>
      </c>
      <c r="DL24" s="15" t="str">
        <f>IFERROR(INDEX($DJ$6:$DJ$30,_xlfn.AGGREGATE(15,6,ROW($DJ$6:$DJ$30)/($DJ$6:$DJ$30&lt;&gt;""),ROW(#REF!))-5),"")</f>
        <v/>
      </c>
      <c r="DM24" s="15" t="str">
        <f t="shared" si="44"/>
        <v/>
      </c>
      <c r="DO24" s="16" t="str">
        <f>IF(AND($B24="Desprezível",$C24="Muito Alto"),"19DeMu","")</f>
        <v/>
      </c>
      <c r="DP24" s="16" t="str">
        <f t="shared" si="20"/>
        <v/>
      </c>
      <c r="DQ24" s="16" t="str">
        <f>IFERROR(INDEX($DO$6:$DO$10,_xlfn.AGGREGATE(15,6,ROW($DO$6:$DO$10)/($DO$6:$DO$10&lt;&gt;""),ROW(#REF!))-5),"")</f>
        <v/>
      </c>
      <c r="DR24" s="16" t="str">
        <f t="shared" si="45"/>
        <v/>
      </c>
      <c r="DT24" s="16" t="str">
        <f>IF(AND($B24="Desprezível",$C24="Alto"),"19DeAl","")</f>
        <v/>
      </c>
      <c r="DU24" s="16" t="str">
        <f t="shared" si="21"/>
        <v/>
      </c>
      <c r="DV24" s="16" t="str">
        <f>IFERROR(INDEX($DT$6:$DT$30,_xlfn.AGGREGATE(15,6,ROW($DT$6:$DT$30)/($DT$6:$DT$30&lt;&gt;""),ROW(#REF!))-5),"")</f>
        <v/>
      </c>
      <c r="DW24" s="16" t="str">
        <f t="shared" si="46"/>
        <v/>
      </c>
      <c r="DY24" s="16" t="str">
        <f>IF(AND($B24="Desprezível",$C24="Moderado"),"19DeMo","")</f>
        <v/>
      </c>
      <c r="DZ24" s="16" t="str">
        <f t="shared" si="22"/>
        <v/>
      </c>
      <c r="EA24" s="16" t="str">
        <f>IFERROR(INDEX($DY$6:$DY$30,_xlfn.AGGREGATE(15,6,ROW($DY$6:$DY$30)/($DY$6:$DY$30&lt;&gt;""),ROW(#REF!))-5),"")</f>
        <v/>
      </c>
      <c r="EB24" s="16" t="str">
        <f t="shared" si="47"/>
        <v/>
      </c>
      <c r="ED24" s="16" t="str">
        <f>IF(AND($B24="Desprezível",$C24="Baixo"),"19DeBa","")</f>
        <v/>
      </c>
      <c r="EE24" s="16" t="str">
        <f t="shared" si="23"/>
        <v/>
      </c>
      <c r="EF24" s="16" t="str">
        <f>IFERROR(INDEX($ED$6:$ED$30,_xlfn.AGGREGATE(15,6,ROW($ED$6:$ED$30)/($ED$6:$ED$30&lt;&gt;""),ROW(#REF!))-5),"")</f>
        <v/>
      </c>
      <c r="EG24" s="16" t="str">
        <f t="shared" si="48"/>
        <v/>
      </c>
      <c r="EI24" s="16" t="str">
        <f>IF(AND($B24="Desprezível",$C24="Desprezível"),"19DeDe","")</f>
        <v/>
      </c>
      <c r="EJ24" s="16" t="str">
        <f t="shared" si="24"/>
        <v/>
      </c>
      <c r="EK24" s="16" t="str">
        <f>IFERROR(INDEX($EI$6:$EI$30,_xlfn.AGGREGATE(15,6,ROW($EI$6:$EI$30)/($EI$6:$EI$30&lt;&gt;""),ROW(#REF!))-5),"")</f>
        <v/>
      </c>
      <c r="EL24" s="16" t="str">
        <f t="shared" si="49"/>
        <v/>
      </c>
      <c r="GF24" s="1"/>
      <c r="GG24" s="1"/>
      <c r="GH24" s="1"/>
      <c r="GI24" s="1"/>
      <c r="GJ24" s="1"/>
    </row>
    <row r="25" spans="1:192" ht="28.5" customHeight="1" x14ac:dyDescent="0.25">
      <c r="A25" s="38" t="s">
        <v>22</v>
      </c>
      <c r="B25" s="40" t="s">
        <v>31</v>
      </c>
      <c r="C25" s="40" t="s">
        <v>32</v>
      </c>
      <c r="G25" s="37"/>
      <c r="H25" s="2" t="s">
        <v>27</v>
      </c>
      <c r="I25" s="24" t="s">
        <v>26</v>
      </c>
      <c r="J25" s="29" t="s">
        <v>25</v>
      </c>
      <c r="K25" s="24" t="s">
        <v>24</v>
      </c>
      <c r="L25" s="30" t="s">
        <v>23</v>
      </c>
      <c r="S25" s="12" t="str">
        <f>IF(AND($B25="Muito Alto",$C25="Muito Alto"),"20MuMu","")</f>
        <v/>
      </c>
      <c r="T25" s="12" t="str">
        <f t="shared" si="0"/>
        <v/>
      </c>
      <c r="U25" s="12" t="str">
        <f>IFERROR(INDEX($S$6:$S$10,_xlfn.AGGREGATE(15,6,ROW($S$6:$S$10)/($S$6:$S$10&lt;&gt;""),ROW(#REF!))-5),"")</f>
        <v/>
      </c>
      <c r="V25" s="12" t="str">
        <f t="shared" si="25"/>
        <v/>
      </c>
      <c r="X25" s="12" t="str">
        <f>IF(AND($B25="Muito Alto",$C25="Alto"),"20MuAl","")</f>
        <v/>
      </c>
      <c r="Y25" s="12" t="str">
        <f t="shared" si="1"/>
        <v/>
      </c>
      <c r="Z25" s="12" t="str">
        <f>IFERROR(INDEX($X$6:$X$30,_xlfn.AGGREGATE(15,6,ROW($X$6:$X$30)/($X$6:$X$30&lt;&gt;""),ROW(#REF!))-5),"")</f>
        <v/>
      </c>
      <c r="AA25" s="12" t="str">
        <f t="shared" si="26"/>
        <v/>
      </c>
      <c r="AC25" s="12" t="str">
        <f>IF(AND($B25="Muito Alto",$C25="Moderado"),"20MuMo","")</f>
        <v/>
      </c>
      <c r="AD25" s="12" t="str">
        <f t="shared" si="2"/>
        <v/>
      </c>
      <c r="AE25" s="12" t="str">
        <f>IFERROR(INDEX($AC$6:$AC$30,_xlfn.AGGREGATE(15,6,ROW($AC$6:$AC$30)/($AC$6:$AC$30&lt;&gt;""),ROW(#REF!))-5),"")</f>
        <v/>
      </c>
      <c r="AF25" s="12" t="str">
        <f t="shared" si="27"/>
        <v/>
      </c>
      <c r="AH25" s="17" t="str">
        <f>IF(AND($B25="Muito Alto",$C25="Baixo"),"20MuBa","")</f>
        <v/>
      </c>
      <c r="AI25" s="12" t="str">
        <f t="shared" si="3"/>
        <v/>
      </c>
      <c r="AJ25" s="12" t="str">
        <f>IFERROR(INDEX($AH$6:$AH$30,_xlfn.AGGREGATE(15,6,ROW($AH$6:$AH$30)/($AH$6:$AH$30&lt;&gt;""),ROW(#REF!))-5),"")</f>
        <v/>
      </c>
      <c r="AK25" s="12" t="str">
        <f t="shared" si="28"/>
        <v/>
      </c>
      <c r="AM25" s="12" t="str">
        <f>IF(AND($B25="Muito Alto",$C25="Desprezível"),"20MuDe","")</f>
        <v/>
      </c>
      <c r="AN25" s="12" t="str">
        <f t="shared" si="4"/>
        <v/>
      </c>
      <c r="AO25" s="12" t="str">
        <f>IFERROR(INDEX($AM$6:$AM$30,_xlfn.AGGREGATE(15,6,ROW($AM$6:$AM$30)/($AM$6:$AM$30&lt;&gt;""),ROW(#REF!))-5),"")</f>
        <v/>
      </c>
      <c r="AP25" s="12" t="str">
        <f t="shared" si="29"/>
        <v/>
      </c>
      <c r="AR25" s="13" t="str">
        <f>IF(AND($B25="Alto",$C25="Muito Alto"),"20AlMu","")</f>
        <v/>
      </c>
      <c r="AS25" s="13" t="str">
        <f t="shared" si="5"/>
        <v/>
      </c>
      <c r="AT25" s="13" t="str">
        <f>IFERROR(INDEX($AR$6:$AR$10,_xlfn.AGGREGATE(15,6,ROW($AR$6:$AR$10)/($AR$6:$AR$10&lt;&gt;""),ROW(#REF!))-5),"")</f>
        <v/>
      </c>
      <c r="AU25" s="13" t="str">
        <f t="shared" si="30"/>
        <v/>
      </c>
      <c r="AW25" s="13" t="str">
        <f>IF(AND($B25="Alto",$C25="Alto"),"20AlAl","")</f>
        <v/>
      </c>
      <c r="AX25" s="13" t="str">
        <f t="shared" si="6"/>
        <v/>
      </c>
      <c r="AY25" s="13" t="str">
        <f>IFERROR(INDEX($AW$6:$AW$30,_xlfn.AGGREGATE(15,6,ROW($AW$6:$AW$30)/($AW$6:$AW$30&lt;&gt;""),ROW(#REF!))-5),"")</f>
        <v/>
      </c>
      <c r="AZ25" s="13" t="str">
        <f t="shared" si="31"/>
        <v/>
      </c>
      <c r="BB25" s="13" t="str">
        <f>IF(AND($B25="Alto",$C25="Moderado"),"20AlMo","")</f>
        <v/>
      </c>
      <c r="BC25" s="13" t="str">
        <f t="shared" si="7"/>
        <v/>
      </c>
      <c r="BD25" s="13" t="str">
        <f>IFERROR(INDEX($BB$6:$BB$30,_xlfn.AGGREGATE(15,6,ROW($BB$6:$BB$30)/($BB$6:$BB$30&lt;&gt;""),ROW(#REF!))-5),"")</f>
        <v/>
      </c>
      <c r="BE25" s="13" t="str">
        <f t="shared" si="32"/>
        <v/>
      </c>
      <c r="BG25" s="13" t="str">
        <f>IF(AND($B25="Alto",$C25="Baixo"),"20AlBa","")</f>
        <v/>
      </c>
      <c r="BH25" s="13" t="str">
        <f t="shared" si="8"/>
        <v/>
      </c>
      <c r="BI25" s="13" t="str">
        <f>IFERROR(INDEX($BG$6:$BG$30,_xlfn.AGGREGATE(15,6,ROW($BG$6:$BG$30)/($BG$6:$BG$30&lt;&gt;""),ROW(#REF!))-5),"")</f>
        <v/>
      </c>
      <c r="BJ25" s="13" t="str">
        <f t="shared" si="33"/>
        <v/>
      </c>
      <c r="BL25" s="13" t="str">
        <f>IF(AND($B25="Alto",$C25="Desprezível"),"20AlDe","")</f>
        <v/>
      </c>
      <c r="BM25" s="13" t="str">
        <f t="shared" si="9"/>
        <v/>
      </c>
      <c r="BN25" s="13" t="str">
        <f>IFERROR(INDEX($BL$6:$BL$30,_xlfn.AGGREGATE(15,6,ROW($BL$6:$BL$30)/($BL$6:$BL$30&lt;&gt;""),ROW(#REF!))-5),"")</f>
        <v/>
      </c>
      <c r="BO25" s="13" t="str">
        <f t="shared" si="34"/>
        <v/>
      </c>
      <c r="BQ25" s="14" t="str">
        <f>IF(AND($B25="Moderado",$C25="Muito Alto"),"20MoMu","")</f>
        <v/>
      </c>
      <c r="BR25" s="14" t="str">
        <f t="shared" si="10"/>
        <v/>
      </c>
      <c r="BS25" s="14" t="str">
        <f>IFERROR(INDEX($BQ$6:$BQ$10,_xlfn.AGGREGATE(15,6,ROW($BQ$6:$BQ$10)/($BQ$6:$BQ$10&lt;&gt;""),ROW(#REF!))-5),"")</f>
        <v/>
      </c>
      <c r="BT25" s="14" t="str">
        <f t="shared" si="35"/>
        <v/>
      </c>
      <c r="BV25" s="14" t="str">
        <f>IF(AND($B25="Moderado",$C25="Alto"),"20MoAl","")</f>
        <v/>
      </c>
      <c r="BW25" s="14" t="str">
        <f t="shared" si="11"/>
        <v/>
      </c>
      <c r="BX25" s="14" t="str">
        <f>IFERROR(INDEX($BV$6:$BV$30,_xlfn.AGGREGATE(15,6,ROW($BV$6:$BV$30)/($BV$6:$BV$30&lt;&gt;""),ROW(#REF!))-5),"")</f>
        <v/>
      </c>
      <c r="BY25" s="14" t="str">
        <f t="shared" si="36"/>
        <v/>
      </c>
      <c r="CA25" s="14" t="str">
        <f>IF(AND($B25="Moderado",$C25="Moderado"),"20MoMo","")</f>
        <v/>
      </c>
      <c r="CB25" s="14" t="str">
        <f t="shared" si="12"/>
        <v/>
      </c>
      <c r="CC25" s="14" t="str">
        <f>IFERROR(INDEX($CA$6:$CA$30,_xlfn.AGGREGATE(15,6,ROW($CA$6:$CA$30)/($CA$6:$CA$30&lt;&gt;""),ROW(#REF!))-5),"")</f>
        <v/>
      </c>
      <c r="CD25" s="14" t="str">
        <f t="shared" si="37"/>
        <v/>
      </c>
      <c r="CF25" s="14" t="str">
        <f>IF(AND($B25="Moderado",$C25="Baixo"),"20MoBa","")</f>
        <v/>
      </c>
      <c r="CG25" s="14" t="str">
        <f t="shared" si="13"/>
        <v/>
      </c>
      <c r="CH25" s="14" t="str">
        <f>IFERROR(INDEX($CF$6:$CF$30,_xlfn.AGGREGATE(15,6,ROW($CF$6:$CF$30)/($CF$6:$CF$30&lt;&gt;""),ROW(#REF!))-5),"")</f>
        <v/>
      </c>
      <c r="CI25" s="14" t="str">
        <f t="shared" si="38"/>
        <v/>
      </c>
      <c r="CK25" s="14" t="str">
        <f>IF(AND($B25="Moderado",$C25="Desprezível"),"20MoDe","")</f>
        <v/>
      </c>
      <c r="CL25" s="14" t="str">
        <f t="shared" si="14"/>
        <v/>
      </c>
      <c r="CM25" s="14" t="str">
        <f>IFERROR(INDEX($CK$6:$CK$30,_xlfn.AGGREGATE(15,6,ROW($CK$6:$CK$30)/($CK$6:$CK$30&lt;&gt;""),ROW(#REF!))-5),"")</f>
        <v/>
      </c>
      <c r="CN25" s="14" t="str">
        <f t="shared" si="39"/>
        <v/>
      </c>
      <c r="CP25" s="15" t="str">
        <f>IF(AND($B25="Baixo",$C25="Muito Alto"),"20BaMu","")</f>
        <v/>
      </c>
      <c r="CQ25" s="15" t="str">
        <f t="shared" si="15"/>
        <v/>
      </c>
      <c r="CR25" s="15" t="str">
        <f>IFERROR(INDEX($CP$6:$CP$30,_xlfn.AGGREGATE(15,6,ROW($CP$6:$CP$30)/($CP$6:$CP$30&lt;&gt;""),ROW(#REF!))-5),"")</f>
        <v/>
      </c>
      <c r="CS25" s="15" t="str">
        <f t="shared" si="40"/>
        <v/>
      </c>
      <c r="CU25" s="15" t="str">
        <f>IF(AND($B25="Baixo",$C25="Alto"),"20BaAl","")</f>
        <v/>
      </c>
      <c r="CV25" s="15" t="str">
        <f t="shared" si="16"/>
        <v/>
      </c>
      <c r="CW25" s="15" t="str">
        <f>IFERROR(INDEX($CU$6:$CU$30,_xlfn.AGGREGATE(15,6,ROW($CU$6:$CU$30)/($CU$6:$CU$30&lt;&gt;""),ROW(#REF!))-5),"")</f>
        <v/>
      </c>
      <c r="CX25" s="15" t="str">
        <f t="shared" si="41"/>
        <v/>
      </c>
      <c r="CZ25" s="15" t="str">
        <f>IF(AND($B25="Baixo",$C25="Moderado"),"20BaMo","")</f>
        <v/>
      </c>
      <c r="DA25" s="15" t="str">
        <f t="shared" si="17"/>
        <v/>
      </c>
      <c r="DB25" s="15" t="str">
        <f>IFERROR(INDEX($CZ$6:$CZ$30,_xlfn.AGGREGATE(15,6,ROW($CZ$6:$CZ$30)/($CZ$6:$CZ$30&lt;&gt;""),ROW(#REF!))-5),"")</f>
        <v/>
      </c>
      <c r="DC25" s="15" t="str">
        <f t="shared" si="42"/>
        <v/>
      </c>
      <c r="DE25" s="15" t="str">
        <f>IF(AND($B25="Baixo",$C25="Baixo"),"20BaBa","")</f>
        <v/>
      </c>
      <c r="DF25" s="15" t="str">
        <f t="shared" si="18"/>
        <v/>
      </c>
      <c r="DG25" s="15" t="str">
        <f>IFERROR(INDEX($DE$6:$DE$30,_xlfn.AGGREGATE(15,6,ROW($DE$6:$DE$30)/($DE$6:$DE$30&lt;&gt;""),ROW(#REF!))-5),"")</f>
        <v/>
      </c>
      <c r="DH25" s="15" t="str">
        <f t="shared" si="43"/>
        <v/>
      </c>
      <c r="DJ25" s="15" t="str">
        <f>IF(AND($B25="Baixo",$C25="Desprezível"),"20BaDe","")</f>
        <v>20BaDe</v>
      </c>
      <c r="DK25" s="15" t="str">
        <f t="shared" si="19"/>
        <v/>
      </c>
      <c r="DL25" s="15" t="str">
        <f>IFERROR(INDEX($DJ$6:$DJ$30,_xlfn.AGGREGATE(15,6,ROW($DJ$6:$DJ$30)/($DJ$6:$DJ$30&lt;&gt;""),ROW(#REF!))-5),"")</f>
        <v/>
      </c>
      <c r="DM25" s="15" t="str">
        <f t="shared" si="44"/>
        <v/>
      </c>
      <c r="DO25" s="16" t="str">
        <f>IF(AND($B25="Desprezível",$C25="Muito Alto"),"20DeMu","")</f>
        <v/>
      </c>
      <c r="DP25" s="16" t="str">
        <f t="shared" si="20"/>
        <v/>
      </c>
      <c r="DQ25" s="16" t="str">
        <f>IFERROR(INDEX($DO$6:$DO$10,_xlfn.AGGREGATE(15,6,ROW($DO$6:$DO$10)/($DO$6:$DO$10&lt;&gt;""),ROW(#REF!))-5),"")</f>
        <v/>
      </c>
      <c r="DR25" s="16" t="str">
        <f t="shared" si="45"/>
        <v/>
      </c>
      <c r="DT25" s="16" t="str">
        <f>IF(AND($B25="Desprezível",$C25="Alto"),"20DeAl","")</f>
        <v/>
      </c>
      <c r="DU25" s="16" t="str">
        <f t="shared" si="21"/>
        <v/>
      </c>
      <c r="DV25" s="16" t="str">
        <f>IFERROR(INDEX($DT$6:$DT$30,_xlfn.AGGREGATE(15,6,ROW($DT$6:$DT$30)/($DT$6:$DT$30&lt;&gt;""),ROW(#REF!))-5),"")</f>
        <v/>
      </c>
      <c r="DW25" s="16" t="str">
        <f t="shared" si="46"/>
        <v/>
      </c>
      <c r="DY25" s="16" t="str">
        <f>IF(AND($B25="Desprezível",$C25="Moderado"),"20DeMo","")</f>
        <v/>
      </c>
      <c r="DZ25" s="16" t="str">
        <f t="shared" si="22"/>
        <v/>
      </c>
      <c r="EA25" s="16" t="str">
        <f>IFERROR(INDEX($DY$6:$DY$30,_xlfn.AGGREGATE(15,6,ROW($DY$6:$DY$30)/($DY$6:$DY$30&lt;&gt;""),ROW(#REF!))-5),"")</f>
        <v/>
      </c>
      <c r="EB25" s="16" t="str">
        <f t="shared" si="47"/>
        <v/>
      </c>
      <c r="ED25" s="16" t="str">
        <f>IF(AND($B25="Desprezível",$C25="Baixo"),"20DeBa","")</f>
        <v/>
      </c>
      <c r="EE25" s="16" t="str">
        <f t="shared" si="23"/>
        <v/>
      </c>
      <c r="EF25" s="16" t="str">
        <f>IFERROR(INDEX($ED$6:$ED$30,_xlfn.AGGREGATE(15,6,ROW($ED$6:$ED$30)/($ED$6:$ED$30&lt;&gt;""),ROW(#REF!))-5),"")</f>
        <v/>
      </c>
      <c r="EG25" s="16" t="str">
        <f t="shared" si="48"/>
        <v/>
      </c>
      <c r="EI25" s="16" t="str">
        <f>IF(AND($B25="Desprezível",$C25="Desprezível"),"20DeDe","")</f>
        <v/>
      </c>
      <c r="EJ25" s="16" t="str">
        <f t="shared" si="24"/>
        <v/>
      </c>
      <c r="EK25" s="16" t="str">
        <f>IFERROR(INDEX($EI$6:$EI$30,_xlfn.AGGREGATE(15,6,ROW($EI$6:$EI$30)/($EI$6:$EI$30&lt;&gt;""),ROW(#REF!))-5),"")</f>
        <v/>
      </c>
      <c r="EL25" s="16" t="str">
        <f t="shared" si="49"/>
        <v/>
      </c>
      <c r="GF25" s="1"/>
      <c r="GG25" s="1"/>
      <c r="GH25" s="1"/>
      <c r="GI25" s="1"/>
      <c r="GJ25" s="1"/>
    </row>
    <row r="26" spans="1:192" ht="28.5" customHeight="1" x14ac:dyDescent="0.25">
      <c r="A26" s="38" t="s">
        <v>23</v>
      </c>
      <c r="B26" s="40" t="s">
        <v>32</v>
      </c>
      <c r="C26" s="39" t="s">
        <v>2</v>
      </c>
      <c r="G26" s="37"/>
      <c r="H26" s="7"/>
      <c r="I26" s="26"/>
      <c r="J26" s="31"/>
      <c r="K26" s="26"/>
      <c r="L26" s="32"/>
      <c r="S26" s="12" t="str">
        <f>IF(AND($B26="Muito Alto",$C26="Muito Alto"),"21MuMu","")</f>
        <v/>
      </c>
      <c r="T26" s="12" t="str">
        <f t="shared" si="0"/>
        <v/>
      </c>
      <c r="U26" s="12" t="str">
        <f>IFERROR(INDEX($S$6:$S$10,_xlfn.AGGREGATE(15,6,ROW($S$6:$S$10)/($S$6:$S$10&lt;&gt;""),ROW(#REF!))-5),"")</f>
        <v/>
      </c>
      <c r="V26" s="12" t="str">
        <f t="shared" si="25"/>
        <v/>
      </c>
      <c r="X26" s="12" t="str">
        <f>IF(AND($B26="Muito Alto",$C26="Alto"),"21MuAl","")</f>
        <v/>
      </c>
      <c r="Y26" s="12" t="str">
        <f t="shared" si="1"/>
        <v/>
      </c>
      <c r="Z26" s="12" t="str">
        <f>IFERROR(INDEX($X$6:$X$30,_xlfn.AGGREGATE(15,6,ROW($X$6:$X$30)/($X$6:$X$30&lt;&gt;""),ROW(#REF!))-5),"")</f>
        <v/>
      </c>
      <c r="AA26" s="12" t="str">
        <f t="shared" si="26"/>
        <v/>
      </c>
      <c r="AC26" s="12" t="str">
        <f>IF(AND($B26="Muito Alto",$C26="Moderado"),"21MuMo","")</f>
        <v/>
      </c>
      <c r="AD26" s="12" t="str">
        <f t="shared" si="2"/>
        <v/>
      </c>
      <c r="AE26" s="12" t="str">
        <f>IFERROR(INDEX($AC$6:$AC$30,_xlfn.AGGREGATE(15,6,ROW($AC$6:$AC$30)/($AC$6:$AC$30&lt;&gt;""),ROW(#REF!))-5),"")</f>
        <v/>
      </c>
      <c r="AF26" s="12" t="str">
        <f t="shared" si="27"/>
        <v/>
      </c>
      <c r="AH26" s="17" t="str">
        <f>IF(AND($B26="Muito Alto",$C26="Baixo"),"21MuBa","")</f>
        <v/>
      </c>
      <c r="AI26" s="12" t="str">
        <f t="shared" si="3"/>
        <v/>
      </c>
      <c r="AJ26" s="12" t="str">
        <f>IFERROR(INDEX($AH$6:$AH$30,_xlfn.AGGREGATE(15,6,ROW($AH$6:$AH$30)/($AH$6:$AH$30&lt;&gt;""),ROW(#REF!))-5),"")</f>
        <v/>
      </c>
      <c r="AK26" s="12" t="str">
        <f t="shared" si="28"/>
        <v/>
      </c>
      <c r="AM26" s="12" t="str">
        <f>IF(AND($B26="Muito Alto",$C26="Desprezível"),"21MuDe","")</f>
        <v/>
      </c>
      <c r="AN26" s="12" t="str">
        <f t="shared" si="4"/>
        <v/>
      </c>
      <c r="AO26" s="12" t="str">
        <f>IFERROR(INDEX($AM$6:$AM$30,_xlfn.AGGREGATE(15,6,ROW($AM$6:$AM$30)/($AM$6:$AM$30&lt;&gt;""),ROW(#REF!))-5),"")</f>
        <v/>
      </c>
      <c r="AP26" s="12" t="str">
        <f t="shared" si="29"/>
        <v/>
      </c>
      <c r="AR26" s="13" t="str">
        <f>IF(AND($B26="Alto",$C26="Muito Alto"),"21AlMu","")</f>
        <v/>
      </c>
      <c r="AS26" s="13" t="str">
        <f t="shared" si="5"/>
        <v/>
      </c>
      <c r="AT26" s="13" t="str">
        <f>IFERROR(INDEX($AR$6:$AR$10,_xlfn.AGGREGATE(15,6,ROW($AR$6:$AR$10)/($AR$6:$AR$10&lt;&gt;""),ROW(#REF!))-5),"")</f>
        <v/>
      </c>
      <c r="AU26" s="13" t="str">
        <f t="shared" si="30"/>
        <v/>
      </c>
      <c r="AW26" s="13" t="str">
        <f>IF(AND($B26="Alto",$C26="Alto"),"21AlAl","")</f>
        <v/>
      </c>
      <c r="AX26" s="13" t="str">
        <f t="shared" si="6"/>
        <v/>
      </c>
      <c r="AY26" s="13" t="str">
        <f>IFERROR(INDEX($AW$6:$AW$30,_xlfn.AGGREGATE(15,6,ROW($AW$6:$AW$30)/($AW$6:$AW$30&lt;&gt;""),ROW(#REF!))-5),"")</f>
        <v/>
      </c>
      <c r="AZ26" s="13" t="str">
        <f t="shared" si="31"/>
        <v/>
      </c>
      <c r="BB26" s="13" t="str">
        <f>IF(AND($B26="Alto",$C26="Moderado"),"21AlMo","")</f>
        <v/>
      </c>
      <c r="BC26" s="13" t="str">
        <f t="shared" si="7"/>
        <v/>
      </c>
      <c r="BD26" s="13" t="str">
        <f>IFERROR(INDEX($BB$6:$BB$30,_xlfn.AGGREGATE(15,6,ROW($BB$6:$BB$30)/($BB$6:$BB$30&lt;&gt;""),ROW(#REF!))-5),"")</f>
        <v/>
      </c>
      <c r="BE26" s="13" t="str">
        <f t="shared" si="32"/>
        <v/>
      </c>
      <c r="BG26" s="13" t="str">
        <f>IF(AND($B26="Alto",$C26="Baixo"),"21AlBa","")</f>
        <v/>
      </c>
      <c r="BH26" s="13" t="str">
        <f t="shared" si="8"/>
        <v/>
      </c>
      <c r="BI26" s="13" t="str">
        <f>IFERROR(INDEX($BG$6:$BG$30,_xlfn.AGGREGATE(15,6,ROW($BG$6:$BG$30)/($BG$6:$BG$30&lt;&gt;""),ROW(#REF!))-5),"")</f>
        <v/>
      </c>
      <c r="BJ26" s="13" t="str">
        <f t="shared" si="33"/>
        <v/>
      </c>
      <c r="BL26" s="13" t="str">
        <f>IF(AND($B26="Alto",$C26="Desprezível"),"21AlDe","")</f>
        <v/>
      </c>
      <c r="BM26" s="13" t="str">
        <f t="shared" si="9"/>
        <v/>
      </c>
      <c r="BN26" s="13" t="str">
        <f>IFERROR(INDEX($BL$6:$BL$30,_xlfn.AGGREGATE(15,6,ROW($BL$6:$BL$30)/($BL$6:$BL$30&lt;&gt;""),ROW(#REF!))-5),"")</f>
        <v/>
      </c>
      <c r="BO26" s="13" t="str">
        <f t="shared" si="34"/>
        <v/>
      </c>
      <c r="BQ26" s="14" t="str">
        <f>IF(AND($B26="Moderado",$C26="Muito Alto"),"21MoMu","")</f>
        <v/>
      </c>
      <c r="BR26" s="14" t="str">
        <f t="shared" si="10"/>
        <v/>
      </c>
      <c r="BS26" s="14" t="str">
        <f>IFERROR(INDEX($BQ$6:$BQ$10,_xlfn.AGGREGATE(15,6,ROW($BQ$6:$BQ$10)/($BQ$6:$BQ$10&lt;&gt;""),ROW(#REF!))-5),"")</f>
        <v/>
      </c>
      <c r="BT26" s="14" t="str">
        <f t="shared" si="35"/>
        <v/>
      </c>
      <c r="BV26" s="14" t="str">
        <f>IF(AND($B26="Moderado",$C26="Alto"),"21MoAl","")</f>
        <v/>
      </c>
      <c r="BW26" s="14" t="str">
        <f t="shared" si="11"/>
        <v/>
      </c>
      <c r="BX26" s="14" t="str">
        <f>IFERROR(INDEX($BV$6:$BV$30,_xlfn.AGGREGATE(15,6,ROW($BV$6:$BV$30)/($BV$6:$BV$30&lt;&gt;""),ROW(#REF!))-5),"")</f>
        <v/>
      </c>
      <c r="BY26" s="14" t="str">
        <f t="shared" si="36"/>
        <v/>
      </c>
      <c r="CA26" s="14" t="str">
        <f>IF(AND($B26="Moderado",$C26="Moderado"),"21MoMo","")</f>
        <v/>
      </c>
      <c r="CB26" s="14" t="str">
        <f t="shared" si="12"/>
        <v/>
      </c>
      <c r="CC26" s="14" t="str">
        <f>IFERROR(INDEX($CA$6:$CA$30,_xlfn.AGGREGATE(15,6,ROW($CA$6:$CA$30)/($CA$6:$CA$30&lt;&gt;""),ROW(#REF!))-5),"")</f>
        <v/>
      </c>
      <c r="CD26" s="14" t="str">
        <f t="shared" si="37"/>
        <v/>
      </c>
      <c r="CF26" s="14" t="str">
        <f>IF(AND($B26="Moderado",$C26="Baixo"),"21MoBa","")</f>
        <v/>
      </c>
      <c r="CG26" s="14" t="str">
        <f t="shared" si="13"/>
        <v/>
      </c>
      <c r="CH26" s="14" t="str">
        <f>IFERROR(INDEX($CF$6:$CF$30,_xlfn.AGGREGATE(15,6,ROW($CF$6:$CF$30)/($CF$6:$CF$30&lt;&gt;""),ROW(#REF!))-5),"")</f>
        <v/>
      </c>
      <c r="CI26" s="14" t="str">
        <f t="shared" si="38"/>
        <v/>
      </c>
      <c r="CK26" s="14" t="str">
        <f>IF(AND($B26="Moderado",$C26="Desprezível"),"21MoDe","")</f>
        <v/>
      </c>
      <c r="CL26" s="14" t="str">
        <f t="shared" si="14"/>
        <v/>
      </c>
      <c r="CM26" s="14" t="str">
        <f>IFERROR(INDEX($CK$6:$CK$30,_xlfn.AGGREGATE(15,6,ROW($CK$6:$CK$30)/($CK$6:$CK$30&lt;&gt;""),ROW(#REF!))-5),"")</f>
        <v/>
      </c>
      <c r="CN26" s="14" t="str">
        <f t="shared" si="39"/>
        <v/>
      </c>
      <c r="CP26" s="15" t="str">
        <f>IF(AND($B26="Baixo",$C26="Muito Alto"),"21BaMu","")</f>
        <v/>
      </c>
      <c r="CQ26" s="15" t="str">
        <f t="shared" si="15"/>
        <v/>
      </c>
      <c r="CR26" s="15" t="str">
        <f>IFERROR(INDEX($CP$6:$CP$30,_xlfn.AGGREGATE(15,6,ROW($CP$6:$CP$30)/($CP$6:$CP$30&lt;&gt;""),ROW(#REF!))-5),"")</f>
        <v/>
      </c>
      <c r="CS26" s="15" t="str">
        <f t="shared" si="40"/>
        <v/>
      </c>
      <c r="CU26" s="15" t="str">
        <f>IF(AND($B26="Baixo",$C26="Alto"),"21BaAl","")</f>
        <v/>
      </c>
      <c r="CV26" s="15" t="str">
        <f t="shared" si="16"/>
        <v/>
      </c>
      <c r="CW26" s="15" t="str">
        <f>IFERROR(INDEX($CU$6:$CU$30,_xlfn.AGGREGATE(15,6,ROW($CU$6:$CU$30)/($CU$6:$CU$30&lt;&gt;""),ROW(#REF!))-5),"")</f>
        <v/>
      </c>
      <c r="CX26" s="15" t="str">
        <f t="shared" si="41"/>
        <v/>
      </c>
      <c r="CZ26" s="15" t="str">
        <f>IF(AND($B26="Baixo",$C26="Moderado"),"21BaMo","")</f>
        <v/>
      </c>
      <c r="DA26" s="15" t="str">
        <f t="shared" si="17"/>
        <v/>
      </c>
      <c r="DB26" s="15" t="str">
        <f>IFERROR(INDEX($CZ$6:$CZ$30,_xlfn.AGGREGATE(15,6,ROW($CZ$6:$CZ$30)/($CZ$6:$CZ$30&lt;&gt;""),ROW(#REF!))-5),"")</f>
        <v/>
      </c>
      <c r="DC26" s="15" t="str">
        <f t="shared" si="42"/>
        <v/>
      </c>
      <c r="DE26" s="15" t="str">
        <f>IF(AND($B26="Baixo",$C26="Baixo"),"21BaBa","")</f>
        <v/>
      </c>
      <c r="DF26" s="15" t="str">
        <f t="shared" si="18"/>
        <v/>
      </c>
      <c r="DG26" s="15" t="str">
        <f>IFERROR(INDEX($DE$6:$DE$30,_xlfn.AGGREGATE(15,6,ROW($DE$6:$DE$30)/($DE$6:$DE$30&lt;&gt;""),ROW(#REF!))-5),"")</f>
        <v/>
      </c>
      <c r="DH26" s="15" t="str">
        <f t="shared" si="43"/>
        <v/>
      </c>
      <c r="DJ26" s="15" t="str">
        <f>IF(AND($B26="Baixo",$C26="Desprezível"),"21BaDe","")</f>
        <v/>
      </c>
      <c r="DK26" s="15" t="str">
        <f t="shared" si="19"/>
        <v/>
      </c>
      <c r="DL26" s="15" t="str">
        <f>IFERROR(INDEX($DJ$6:$DJ$30,_xlfn.AGGREGATE(15,6,ROW($DJ$6:$DJ$30)/($DJ$6:$DJ$30&lt;&gt;""),ROW(#REF!))-5),"")</f>
        <v/>
      </c>
      <c r="DM26" s="15" t="str">
        <f t="shared" si="44"/>
        <v/>
      </c>
      <c r="DO26" s="16" t="str">
        <f>IF(AND($B26="Desprezível",$C26="Muito Alto"),"21DeMu","")</f>
        <v>21DeMu</v>
      </c>
      <c r="DP26" s="16" t="str">
        <f t="shared" si="20"/>
        <v/>
      </c>
      <c r="DQ26" s="16" t="str">
        <f>IFERROR(INDEX($DO$6:$DO$10,_xlfn.AGGREGATE(15,6,ROW($DO$6:$DO$10)/($DO$6:$DO$10&lt;&gt;""),ROW(#REF!))-5),"")</f>
        <v/>
      </c>
      <c r="DR26" s="16" t="str">
        <f t="shared" si="45"/>
        <v/>
      </c>
      <c r="DT26" s="16" t="str">
        <f>IF(AND($B26="Desprezível",$C26="Alto"),"21DeAl","")</f>
        <v/>
      </c>
      <c r="DU26" s="16" t="str">
        <f t="shared" si="21"/>
        <v/>
      </c>
      <c r="DV26" s="16" t="str">
        <f>IFERROR(INDEX($DT$6:$DT$30,_xlfn.AGGREGATE(15,6,ROW($DT$6:$DT$30)/($DT$6:$DT$30&lt;&gt;""),ROW(#REF!))-5),"")</f>
        <v/>
      </c>
      <c r="DW26" s="16" t="str">
        <f t="shared" si="46"/>
        <v/>
      </c>
      <c r="DY26" s="16" t="str">
        <f>IF(AND($B26="Desprezível",$C26="Moderado"),"21DeMo","")</f>
        <v/>
      </c>
      <c r="DZ26" s="16" t="str">
        <f t="shared" si="22"/>
        <v/>
      </c>
      <c r="EA26" s="16" t="str">
        <f>IFERROR(INDEX($DY$6:$DY$30,_xlfn.AGGREGATE(15,6,ROW($DY$6:$DY$30)/($DY$6:$DY$30&lt;&gt;""),ROW(#REF!))-5),"")</f>
        <v/>
      </c>
      <c r="EB26" s="16" t="str">
        <f t="shared" si="47"/>
        <v/>
      </c>
      <c r="ED26" s="16" t="str">
        <f>IF(AND($B26="Desprezível",$C26="Baixo"),"21DeBa","")</f>
        <v/>
      </c>
      <c r="EE26" s="16" t="str">
        <f t="shared" si="23"/>
        <v/>
      </c>
      <c r="EF26" s="16" t="str">
        <f>IFERROR(INDEX($ED$6:$ED$30,_xlfn.AGGREGATE(15,6,ROW($ED$6:$ED$30)/($ED$6:$ED$30&lt;&gt;""),ROW(#REF!))-5),"")</f>
        <v/>
      </c>
      <c r="EG26" s="16" t="str">
        <f t="shared" si="48"/>
        <v/>
      </c>
      <c r="EI26" s="16" t="str">
        <f>IF(AND($B26="Desprezível",$C26="Desprezível"),"21DeDe","")</f>
        <v/>
      </c>
      <c r="EJ26" s="16" t="str">
        <f t="shared" si="24"/>
        <v/>
      </c>
      <c r="EK26" s="16" t="str">
        <f>IFERROR(INDEX($EI$6:$EI$30,_xlfn.AGGREGATE(15,6,ROW($EI$6:$EI$30)/($EI$6:$EI$30&lt;&gt;""),ROW(#REF!))-5),"")</f>
        <v/>
      </c>
      <c r="EL26" s="16" t="str">
        <f t="shared" si="49"/>
        <v/>
      </c>
      <c r="GF26" s="1"/>
      <c r="GG26" s="1"/>
      <c r="GH26" s="1"/>
      <c r="GI26" s="1"/>
      <c r="GJ26" s="1"/>
    </row>
    <row r="27" spans="1:192" ht="28.5" customHeight="1" x14ac:dyDescent="0.25">
      <c r="A27" s="38" t="s">
        <v>24</v>
      </c>
      <c r="B27" s="40" t="s">
        <v>32</v>
      </c>
      <c r="C27" s="40" t="s">
        <v>29</v>
      </c>
      <c r="G27" s="37"/>
      <c r="H27" s="7"/>
      <c r="I27" s="26"/>
      <c r="J27" s="31"/>
      <c r="K27" s="26"/>
      <c r="L27" s="32"/>
      <c r="S27" s="12" t="str">
        <f>IF(AND($B27="Muito Alto",$C27="Muito Alto"),"22MuMu","")</f>
        <v/>
      </c>
      <c r="T27" s="12" t="str">
        <f t="shared" si="0"/>
        <v/>
      </c>
      <c r="U27" s="12" t="str">
        <f>IFERROR(INDEX($S$6:$S$10,_xlfn.AGGREGATE(15,6,ROW($S$6:$S$10)/($S$6:$S$10&lt;&gt;""),ROW(#REF!))-5),"")</f>
        <v/>
      </c>
      <c r="V27" s="12" t="str">
        <f t="shared" si="25"/>
        <v/>
      </c>
      <c r="X27" s="12" t="str">
        <f>IF(AND($B27="Muito Alto",$C27="Alto"),"22MuAl","")</f>
        <v/>
      </c>
      <c r="Y27" s="12" t="str">
        <f t="shared" si="1"/>
        <v/>
      </c>
      <c r="Z27" s="12" t="str">
        <f>IFERROR(INDEX($X$6:$X$30,_xlfn.AGGREGATE(15,6,ROW($X$6:$X$30)/($X$6:$X$30&lt;&gt;""),ROW(#REF!))-5),"")</f>
        <v/>
      </c>
      <c r="AA27" s="12" t="str">
        <f t="shared" si="26"/>
        <v/>
      </c>
      <c r="AC27" s="12" t="str">
        <f>IF(AND($B27="Muito Alto",$C27="Moderado"),"22MuMo","")</f>
        <v/>
      </c>
      <c r="AD27" s="12" t="str">
        <f t="shared" si="2"/>
        <v/>
      </c>
      <c r="AE27" s="12" t="str">
        <f>IFERROR(INDEX($AC$6:$AC$30,_xlfn.AGGREGATE(15,6,ROW($AC$6:$AC$30)/($AC$6:$AC$30&lt;&gt;""),ROW(#REF!))-5),"")</f>
        <v/>
      </c>
      <c r="AF27" s="12" t="str">
        <f t="shared" si="27"/>
        <v/>
      </c>
      <c r="AH27" s="17" t="str">
        <f>IF(AND($B27="Muito Alto",$C27="Baixo"),"22MuBa","")</f>
        <v/>
      </c>
      <c r="AI27" s="12" t="str">
        <f t="shared" si="3"/>
        <v/>
      </c>
      <c r="AJ27" s="12" t="str">
        <f>IFERROR(INDEX($AH$6:$AH$30,_xlfn.AGGREGATE(15,6,ROW($AH$6:$AH$30)/($AH$6:$AH$30&lt;&gt;""),ROW(#REF!))-5),"")</f>
        <v/>
      </c>
      <c r="AK27" s="12" t="str">
        <f t="shared" si="28"/>
        <v/>
      </c>
      <c r="AM27" s="12" t="str">
        <f>IF(AND($B27="Muito Alto",$C27="Desprezível"),"22MuDe","")</f>
        <v/>
      </c>
      <c r="AN27" s="12" t="str">
        <f t="shared" si="4"/>
        <v/>
      </c>
      <c r="AO27" s="12" t="str">
        <f>IFERROR(INDEX($AM$6:$AM$30,_xlfn.AGGREGATE(15,6,ROW($AM$6:$AM$30)/($AM$6:$AM$30&lt;&gt;""),ROW(#REF!))-5),"")</f>
        <v/>
      </c>
      <c r="AP27" s="12" t="str">
        <f t="shared" si="29"/>
        <v/>
      </c>
      <c r="AR27" s="13" t="str">
        <f>IF(AND($B27="Alto",$C27="Muito Alto"),"22AlMu","")</f>
        <v/>
      </c>
      <c r="AS27" s="13" t="str">
        <f t="shared" si="5"/>
        <v/>
      </c>
      <c r="AT27" s="13" t="str">
        <f>IFERROR(INDEX($AR$6:$AR$10,_xlfn.AGGREGATE(15,6,ROW($AR$6:$AR$10)/($AR$6:$AR$10&lt;&gt;""),ROW(#REF!))-5),"")</f>
        <v/>
      </c>
      <c r="AU27" s="13" t="str">
        <f t="shared" si="30"/>
        <v/>
      </c>
      <c r="AW27" s="13" t="str">
        <f>IF(AND($B27="Alto",$C27="Alto"),"22AlAl","")</f>
        <v/>
      </c>
      <c r="AX27" s="13" t="str">
        <f t="shared" si="6"/>
        <v/>
      </c>
      <c r="AY27" s="13" t="str">
        <f>IFERROR(INDEX($AW$6:$AW$30,_xlfn.AGGREGATE(15,6,ROW($AW$6:$AW$30)/($AW$6:$AW$30&lt;&gt;""),ROW(#REF!))-5),"")</f>
        <v/>
      </c>
      <c r="AZ27" s="13" t="str">
        <f t="shared" si="31"/>
        <v/>
      </c>
      <c r="BB27" s="13" t="str">
        <f>IF(AND($B27="Alto",$C27="Moderado"),"22AlMo","")</f>
        <v/>
      </c>
      <c r="BC27" s="13" t="str">
        <f t="shared" si="7"/>
        <v/>
      </c>
      <c r="BD27" s="13" t="str">
        <f>IFERROR(INDEX($BB$6:$BB$30,_xlfn.AGGREGATE(15,6,ROW($BB$6:$BB$30)/($BB$6:$BB$30&lt;&gt;""),ROW(#REF!))-5),"")</f>
        <v/>
      </c>
      <c r="BE27" s="13" t="str">
        <f t="shared" si="32"/>
        <v/>
      </c>
      <c r="BG27" s="13" t="str">
        <f>IF(AND($B27="Alto",$C27="Baixo"),"22AlBa","")</f>
        <v/>
      </c>
      <c r="BH27" s="13" t="str">
        <f t="shared" si="8"/>
        <v/>
      </c>
      <c r="BI27" s="13" t="str">
        <f>IFERROR(INDEX($BG$6:$BG$30,_xlfn.AGGREGATE(15,6,ROW($BG$6:$BG$30)/($BG$6:$BG$30&lt;&gt;""),ROW(#REF!))-5),"")</f>
        <v/>
      </c>
      <c r="BJ27" s="13" t="str">
        <f t="shared" si="33"/>
        <v/>
      </c>
      <c r="BL27" s="13" t="str">
        <f>IF(AND($B27="Alto",$C27="Desprezível"),"22AlDe","")</f>
        <v/>
      </c>
      <c r="BM27" s="13" t="str">
        <f t="shared" si="9"/>
        <v/>
      </c>
      <c r="BN27" s="13" t="str">
        <f>IFERROR(INDEX($BL$6:$BL$30,_xlfn.AGGREGATE(15,6,ROW($BL$6:$BL$30)/($BL$6:$BL$30&lt;&gt;""),ROW(#REF!))-5),"")</f>
        <v/>
      </c>
      <c r="BO27" s="13" t="str">
        <f t="shared" si="34"/>
        <v/>
      </c>
      <c r="BQ27" s="14" t="str">
        <f>IF(AND($B27="Moderado",$C27="Muito Alto"),"22MoMu","")</f>
        <v/>
      </c>
      <c r="BR27" s="14" t="str">
        <f t="shared" si="10"/>
        <v/>
      </c>
      <c r="BS27" s="14" t="str">
        <f>IFERROR(INDEX($BQ$6:$BQ$10,_xlfn.AGGREGATE(15,6,ROW($BQ$6:$BQ$10)/($BQ$6:$BQ$10&lt;&gt;""),ROW(#REF!))-5),"")</f>
        <v/>
      </c>
      <c r="BT27" s="14" t="str">
        <f t="shared" si="35"/>
        <v/>
      </c>
      <c r="BV27" s="14" t="str">
        <f>IF(AND($B27="Moderado",$C27="Alto"),"22MoAl","")</f>
        <v/>
      </c>
      <c r="BW27" s="14" t="str">
        <f t="shared" si="11"/>
        <v/>
      </c>
      <c r="BX27" s="14" t="str">
        <f>IFERROR(INDEX($BV$6:$BV$30,_xlfn.AGGREGATE(15,6,ROW($BV$6:$BV$30)/($BV$6:$BV$30&lt;&gt;""),ROW(#REF!))-5),"")</f>
        <v/>
      </c>
      <c r="BY27" s="14" t="str">
        <f t="shared" si="36"/>
        <v/>
      </c>
      <c r="CA27" s="14" t="str">
        <f>IF(AND($B27="Moderado",$C27="Moderado"),"22MoMo","")</f>
        <v/>
      </c>
      <c r="CB27" s="14" t="str">
        <f t="shared" si="12"/>
        <v/>
      </c>
      <c r="CC27" s="14" t="str">
        <f>IFERROR(INDEX($CA$6:$CA$30,_xlfn.AGGREGATE(15,6,ROW($CA$6:$CA$30)/($CA$6:$CA$30&lt;&gt;""),ROW(#REF!))-5),"")</f>
        <v/>
      </c>
      <c r="CD27" s="14" t="str">
        <f t="shared" si="37"/>
        <v/>
      </c>
      <c r="CF27" s="14" t="str">
        <f>IF(AND($B27="Moderado",$C27="Baixo"),"22MoBa","")</f>
        <v/>
      </c>
      <c r="CG27" s="14" t="str">
        <f t="shared" si="13"/>
        <v/>
      </c>
      <c r="CH27" s="14" t="str">
        <f>IFERROR(INDEX($CF$6:$CF$30,_xlfn.AGGREGATE(15,6,ROW($CF$6:$CF$30)/($CF$6:$CF$30&lt;&gt;""),ROW(#REF!))-5),"")</f>
        <v/>
      </c>
      <c r="CI27" s="14" t="str">
        <f t="shared" si="38"/>
        <v/>
      </c>
      <c r="CK27" s="14" t="str">
        <f>IF(AND($B27="Moderado",$C27="Desprezível"),"22MoDe","")</f>
        <v/>
      </c>
      <c r="CL27" s="14" t="str">
        <f t="shared" si="14"/>
        <v/>
      </c>
      <c r="CM27" s="14" t="str">
        <f>IFERROR(INDEX($CK$6:$CK$30,_xlfn.AGGREGATE(15,6,ROW($CK$6:$CK$30)/($CK$6:$CK$30&lt;&gt;""),ROW(#REF!))-5),"")</f>
        <v/>
      </c>
      <c r="CN27" s="14" t="str">
        <f t="shared" si="39"/>
        <v/>
      </c>
      <c r="CP27" s="15" t="str">
        <f>IF(AND($B27="Baixo",$C27="Muito Alto"),"22BaMu","")</f>
        <v/>
      </c>
      <c r="CQ27" s="15" t="str">
        <f t="shared" si="15"/>
        <v/>
      </c>
      <c r="CR27" s="15" t="str">
        <f>IFERROR(INDEX($CP$6:$CP$30,_xlfn.AGGREGATE(15,6,ROW($CP$6:$CP$30)/($CP$6:$CP$30&lt;&gt;""),ROW(#REF!))-5),"")</f>
        <v/>
      </c>
      <c r="CS27" s="15" t="str">
        <f t="shared" si="40"/>
        <v/>
      </c>
      <c r="CU27" s="15" t="str">
        <f>IF(AND($B27="Baixo",$C27="Alto"),"22BaAl","")</f>
        <v/>
      </c>
      <c r="CV27" s="15" t="str">
        <f t="shared" si="16"/>
        <v/>
      </c>
      <c r="CW27" s="15" t="str">
        <f>IFERROR(INDEX($CU$6:$CU$30,_xlfn.AGGREGATE(15,6,ROW($CU$6:$CU$30)/($CU$6:$CU$30&lt;&gt;""),ROW(#REF!))-5),"")</f>
        <v/>
      </c>
      <c r="CX27" s="15" t="str">
        <f t="shared" si="41"/>
        <v/>
      </c>
      <c r="CZ27" s="15" t="str">
        <f>IF(AND($B27="Baixo",$C27="Moderado"),"22BaMo","")</f>
        <v/>
      </c>
      <c r="DA27" s="15" t="str">
        <f t="shared" si="17"/>
        <v/>
      </c>
      <c r="DB27" s="15" t="str">
        <f>IFERROR(INDEX($CZ$6:$CZ$30,_xlfn.AGGREGATE(15,6,ROW($CZ$6:$CZ$30)/($CZ$6:$CZ$30&lt;&gt;""),ROW(#REF!))-5),"")</f>
        <v/>
      </c>
      <c r="DC27" s="15" t="str">
        <f t="shared" si="42"/>
        <v/>
      </c>
      <c r="DE27" s="15" t="str">
        <f>IF(AND($B27="Baixo",$C27="Baixo"),"22BaBa","")</f>
        <v/>
      </c>
      <c r="DF27" s="15" t="str">
        <f t="shared" si="18"/>
        <v/>
      </c>
      <c r="DG27" s="15" t="str">
        <f>IFERROR(INDEX($DE$6:$DE$30,_xlfn.AGGREGATE(15,6,ROW($DE$6:$DE$30)/($DE$6:$DE$30&lt;&gt;""),ROW(#REF!))-5),"")</f>
        <v/>
      </c>
      <c r="DH27" s="15" t="str">
        <f t="shared" si="43"/>
        <v/>
      </c>
      <c r="DJ27" s="15" t="str">
        <f>IF(AND($B27="Baixo",$C27="Desprezível"),"22BaDe","")</f>
        <v/>
      </c>
      <c r="DK27" s="15" t="str">
        <f t="shared" si="19"/>
        <v/>
      </c>
      <c r="DL27" s="15" t="str">
        <f>IFERROR(INDEX($DJ$6:$DJ$30,_xlfn.AGGREGATE(15,6,ROW($DJ$6:$DJ$30)/($DJ$6:$DJ$30&lt;&gt;""),ROW(#REF!))-5),"")</f>
        <v/>
      </c>
      <c r="DM27" s="15" t="str">
        <f t="shared" si="44"/>
        <v/>
      </c>
      <c r="DO27" s="16" t="str">
        <f>IF(AND($B27="Desprezível",$C27="Muito Alto"),"22DeMu","")</f>
        <v/>
      </c>
      <c r="DP27" s="16" t="str">
        <f t="shared" si="20"/>
        <v/>
      </c>
      <c r="DQ27" s="16" t="str">
        <f>IFERROR(INDEX($DO$6:$DO$10,_xlfn.AGGREGATE(15,6,ROW($DO$6:$DO$10)/($DO$6:$DO$10&lt;&gt;""),ROW(#REF!))-5),"")</f>
        <v/>
      </c>
      <c r="DR27" s="16" t="str">
        <f t="shared" si="45"/>
        <v/>
      </c>
      <c r="DT27" s="16" t="str">
        <f>IF(AND($B27="Desprezível",$C27="Alto"),"22DeAl","")</f>
        <v>22DeAl</v>
      </c>
      <c r="DU27" s="16" t="str">
        <f t="shared" si="21"/>
        <v/>
      </c>
      <c r="DV27" s="16" t="str">
        <f>IFERROR(INDEX($DT$6:$DT$30,_xlfn.AGGREGATE(15,6,ROW($DT$6:$DT$30)/($DT$6:$DT$30&lt;&gt;""),ROW(#REF!))-5),"")</f>
        <v/>
      </c>
      <c r="DW27" s="16" t="str">
        <f t="shared" si="46"/>
        <v/>
      </c>
      <c r="DY27" s="16" t="str">
        <f>IF(AND($B27="Desprezível",$C27="Moderado"),"22DeMo","")</f>
        <v/>
      </c>
      <c r="DZ27" s="16" t="str">
        <f t="shared" si="22"/>
        <v/>
      </c>
      <c r="EA27" s="16" t="str">
        <f>IFERROR(INDEX($DY$6:$DY$30,_xlfn.AGGREGATE(15,6,ROW($DY$6:$DY$30)/($DY$6:$DY$30&lt;&gt;""),ROW(#REF!))-5),"")</f>
        <v/>
      </c>
      <c r="EB27" s="16" t="str">
        <f t="shared" si="47"/>
        <v/>
      </c>
      <c r="ED27" s="16" t="str">
        <f>IF(AND($B27="Desprezível",$C27="Baixo"),"22DeBa","")</f>
        <v/>
      </c>
      <c r="EE27" s="16" t="str">
        <f t="shared" si="23"/>
        <v/>
      </c>
      <c r="EF27" s="16" t="str">
        <f>IFERROR(INDEX($ED$6:$ED$30,_xlfn.AGGREGATE(15,6,ROW($ED$6:$ED$30)/($ED$6:$ED$30&lt;&gt;""),ROW(#REF!))-5),"")</f>
        <v/>
      </c>
      <c r="EG27" s="16" t="str">
        <f t="shared" si="48"/>
        <v/>
      </c>
      <c r="EI27" s="16" t="str">
        <f>IF(AND($B27="Desprezível",$C27="Desprezível"),"22DeDe","")</f>
        <v/>
      </c>
      <c r="EJ27" s="16" t="str">
        <f t="shared" si="24"/>
        <v/>
      </c>
      <c r="EK27" s="16" t="str">
        <f>IFERROR(INDEX($EI$6:$EI$30,_xlfn.AGGREGATE(15,6,ROW($EI$6:$EI$30)/($EI$6:$EI$30&lt;&gt;""),ROW(#REF!))-5),"")</f>
        <v/>
      </c>
      <c r="EL27" s="16" t="str">
        <f t="shared" si="49"/>
        <v/>
      </c>
      <c r="GF27" s="1"/>
      <c r="GG27" s="1"/>
      <c r="GH27" s="1"/>
      <c r="GI27" s="1"/>
      <c r="GJ27" s="1"/>
    </row>
    <row r="28" spans="1:192" ht="28.5" customHeight="1" x14ac:dyDescent="0.25">
      <c r="A28" s="38" t="s">
        <v>25</v>
      </c>
      <c r="B28" s="40" t="s">
        <v>32</v>
      </c>
      <c r="C28" s="40" t="s">
        <v>30</v>
      </c>
      <c r="G28" s="37"/>
      <c r="H28" s="7"/>
      <c r="I28" s="26"/>
      <c r="J28" s="31"/>
      <c r="K28" s="26"/>
      <c r="L28" s="32"/>
      <c r="S28" s="12" t="str">
        <f>IF(AND($B28="Muito Alto",$C28="Muito Alto"),"23MuMu","")</f>
        <v/>
      </c>
      <c r="T28" s="12" t="str">
        <f t="shared" si="0"/>
        <v/>
      </c>
      <c r="U28" s="12" t="str">
        <f>IFERROR(INDEX($S$6:$S$10,_xlfn.AGGREGATE(15,6,ROW($S$6:$S$10)/($S$6:$S$10&lt;&gt;""),ROW(#REF!))-5),"")</f>
        <v/>
      </c>
      <c r="V28" s="12" t="str">
        <f t="shared" si="25"/>
        <v/>
      </c>
      <c r="X28" s="12" t="str">
        <f>IF(AND($B28="Muito Alto",$C28="Alto"),"23MuAl","")</f>
        <v/>
      </c>
      <c r="Y28" s="12" t="str">
        <f t="shared" si="1"/>
        <v/>
      </c>
      <c r="Z28" s="12" t="str">
        <f>IFERROR(INDEX($X$6:$X$30,_xlfn.AGGREGATE(15,6,ROW($X$6:$X$30)/($X$6:$X$30&lt;&gt;""),ROW(#REF!))-5),"")</f>
        <v/>
      </c>
      <c r="AA28" s="12" t="str">
        <f t="shared" si="26"/>
        <v/>
      </c>
      <c r="AC28" s="12" t="str">
        <f>IF(AND($B28="Muito Alto",$C28="Moderado"),"23MuMo","")</f>
        <v/>
      </c>
      <c r="AD28" s="12" t="str">
        <f t="shared" si="2"/>
        <v/>
      </c>
      <c r="AE28" s="12" t="str">
        <f>IFERROR(INDEX($AC$6:$AC$30,_xlfn.AGGREGATE(15,6,ROW($AC$6:$AC$30)/($AC$6:$AC$30&lt;&gt;""),ROW(#REF!))-5),"")</f>
        <v/>
      </c>
      <c r="AF28" s="12" t="str">
        <f t="shared" si="27"/>
        <v/>
      </c>
      <c r="AH28" s="17" t="str">
        <f>IF(AND($B28="Muito Alto",$C28="Baixo"),"23MuBa","")</f>
        <v/>
      </c>
      <c r="AI28" s="12" t="str">
        <f t="shared" si="3"/>
        <v/>
      </c>
      <c r="AJ28" s="12" t="str">
        <f>IFERROR(INDEX($AH$6:$AH$30,_xlfn.AGGREGATE(15,6,ROW($AH$6:$AH$30)/($AH$6:$AH$30&lt;&gt;""),ROW(#REF!))-5),"")</f>
        <v/>
      </c>
      <c r="AK28" s="12" t="str">
        <f t="shared" si="28"/>
        <v/>
      </c>
      <c r="AM28" s="12" t="str">
        <f>IF(AND($B28="Muito Alto",$C28="Desprezível"),"23MuDe","")</f>
        <v/>
      </c>
      <c r="AN28" s="12" t="str">
        <f t="shared" si="4"/>
        <v/>
      </c>
      <c r="AO28" s="12" t="str">
        <f>IFERROR(INDEX($AM$6:$AM$30,_xlfn.AGGREGATE(15,6,ROW($AM$6:$AM$30)/($AM$6:$AM$30&lt;&gt;""),ROW(#REF!))-5),"")</f>
        <v/>
      </c>
      <c r="AP28" s="12" t="str">
        <f t="shared" si="29"/>
        <v/>
      </c>
      <c r="AR28" s="13" t="str">
        <f>IF(AND($B28="Alto",$C28="Muito Alto"),"23AlMu","")</f>
        <v/>
      </c>
      <c r="AS28" s="13" t="str">
        <f t="shared" si="5"/>
        <v/>
      </c>
      <c r="AT28" s="13" t="str">
        <f>IFERROR(INDEX($AR$6:$AR$10,_xlfn.AGGREGATE(15,6,ROW($AR$6:$AR$10)/($AR$6:$AR$10&lt;&gt;""),ROW(#REF!))-5),"")</f>
        <v/>
      </c>
      <c r="AU28" s="13" t="str">
        <f t="shared" si="30"/>
        <v/>
      </c>
      <c r="AW28" s="13" t="str">
        <f>IF(AND($B28="Alto",$C28="Alto"),"23AlAl","")</f>
        <v/>
      </c>
      <c r="AX28" s="13" t="str">
        <f t="shared" si="6"/>
        <v/>
      </c>
      <c r="AY28" s="13" t="str">
        <f>IFERROR(INDEX($AW$6:$AW$30,_xlfn.AGGREGATE(15,6,ROW($AW$6:$AW$30)/($AW$6:$AW$30&lt;&gt;""),ROW(#REF!))-5),"")</f>
        <v/>
      </c>
      <c r="AZ28" s="13" t="str">
        <f t="shared" si="31"/>
        <v/>
      </c>
      <c r="BB28" s="13" t="str">
        <f>IF(AND($B28="Alto",$C28="Moderado"),"23AlMo","")</f>
        <v/>
      </c>
      <c r="BC28" s="13" t="str">
        <f t="shared" si="7"/>
        <v/>
      </c>
      <c r="BD28" s="13" t="str">
        <f>IFERROR(INDEX($BB$6:$BB$30,_xlfn.AGGREGATE(15,6,ROW($BB$6:$BB$30)/($BB$6:$BB$30&lt;&gt;""),ROW(#REF!))-5),"")</f>
        <v/>
      </c>
      <c r="BE28" s="13" t="str">
        <f t="shared" si="32"/>
        <v/>
      </c>
      <c r="BG28" s="13" t="str">
        <f>IF(AND($B28="Alto",$C28="Baixo"),"23AlBa","")</f>
        <v/>
      </c>
      <c r="BH28" s="13" t="str">
        <f t="shared" si="8"/>
        <v/>
      </c>
      <c r="BI28" s="13" t="str">
        <f>IFERROR(INDEX($BG$6:$BG$30,_xlfn.AGGREGATE(15,6,ROW($BG$6:$BG$30)/($BG$6:$BG$30&lt;&gt;""),ROW(#REF!))-5),"")</f>
        <v/>
      </c>
      <c r="BJ28" s="13" t="str">
        <f t="shared" si="33"/>
        <v/>
      </c>
      <c r="BL28" s="13" t="str">
        <f>IF(AND($B28="Alto",$C28="Desprezível"),"23AlDe","")</f>
        <v/>
      </c>
      <c r="BM28" s="13" t="str">
        <f t="shared" si="9"/>
        <v/>
      </c>
      <c r="BN28" s="13" t="str">
        <f>IFERROR(INDEX($BL$6:$BL$30,_xlfn.AGGREGATE(15,6,ROW($BL$6:$BL$30)/($BL$6:$BL$30&lt;&gt;""),ROW(#REF!))-5),"")</f>
        <v/>
      </c>
      <c r="BO28" s="13" t="str">
        <f t="shared" si="34"/>
        <v/>
      </c>
      <c r="BQ28" s="14" t="str">
        <f>IF(AND($B28="Moderado",$C28="Muito Alto"),"23MoMu","")</f>
        <v/>
      </c>
      <c r="BR28" s="14" t="str">
        <f t="shared" si="10"/>
        <v/>
      </c>
      <c r="BS28" s="14" t="str">
        <f>IFERROR(INDEX($BQ$6:$BQ$10,_xlfn.AGGREGATE(15,6,ROW($BQ$6:$BQ$10)/($BQ$6:$BQ$10&lt;&gt;""),ROW(#REF!))-5),"")</f>
        <v/>
      </c>
      <c r="BT28" s="14" t="str">
        <f t="shared" si="35"/>
        <v/>
      </c>
      <c r="BV28" s="14" t="str">
        <f>IF(AND($B28="Moderado",$C28="Alto"),"23MoAl","")</f>
        <v/>
      </c>
      <c r="BW28" s="14" t="str">
        <f t="shared" si="11"/>
        <v/>
      </c>
      <c r="BX28" s="14" t="str">
        <f>IFERROR(INDEX($BV$6:$BV$30,_xlfn.AGGREGATE(15,6,ROW($BV$6:$BV$30)/($BV$6:$BV$30&lt;&gt;""),ROW(#REF!))-5),"")</f>
        <v/>
      </c>
      <c r="BY28" s="14" t="str">
        <f t="shared" si="36"/>
        <v/>
      </c>
      <c r="CA28" s="14" t="str">
        <f>IF(AND($B28="Moderado",$C28="Moderado"),"23MoMo","")</f>
        <v/>
      </c>
      <c r="CB28" s="14" t="str">
        <f t="shared" si="12"/>
        <v/>
      </c>
      <c r="CC28" s="14" t="str">
        <f>IFERROR(INDEX($CA$6:$CA$30,_xlfn.AGGREGATE(15,6,ROW($CA$6:$CA$30)/($CA$6:$CA$30&lt;&gt;""),ROW(#REF!))-5),"")</f>
        <v/>
      </c>
      <c r="CD28" s="14" t="str">
        <f t="shared" si="37"/>
        <v/>
      </c>
      <c r="CF28" s="14" t="str">
        <f>IF(AND($B28="Moderado",$C28="Baixo"),"23MoBa","")</f>
        <v/>
      </c>
      <c r="CG28" s="14" t="str">
        <f t="shared" si="13"/>
        <v/>
      </c>
      <c r="CH28" s="14" t="str">
        <f>IFERROR(INDEX($CF$6:$CF$30,_xlfn.AGGREGATE(15,6,ROW($CF$6:$CF$30)/($CF$6:$CF$30&lt;&gt;""),ROW(#REF!))-5),"")</f>
        <v/>
      </c>
      <c r="CI28" s="14" t="str">
        <f t="shared" si="38"/>
        <v/>
      </c>
      <c r="CK28" s="14" t="str">
        <f>IF(AND($B28="Moderado",$C28="Desprezível"),"23MoDe","")</f>
        <v/>
      </c>
      <c r="CL28" s="14" t="str">
        <f t="shared" si="14"/>
        <v/>
      </c>
      <c r="CM28" s="14" t="str">
        <f>IFERROR(INDEX($CK$6:$CK$30,_xlfn.AGGREGATE(15,6,ROW($CK$6:$CK$30)/($CK$6:$CK$30&lt;&gt;""),ROW(#REF!))-5),"")</f>
        <v/>
      </c>
      <c r="CN28" s="14" t="str">
        <f t="shared" si="39"/>
        <v/>
      </c>
      <c r="CP28" s="15" t="str">
        <f>IF(AND($B28="Baixo",$C28="Muito Alto"),"23BaMu","")</f>
        <v/>
      </c>
      <c r="CQ28" s="15" t="str">
        <f t="shared" si="15"/>
        <v/>
      </c>
      <c r="CR28" s="15" t="str">
        <f>IFERROR(INDEX($CP$6:$CP$30,_xlfn.AGGREGATE(15,6,ROW($CP$6:$CP$30)/($CP$6:$CP$30&lt;&gt;""),ROW(#REF!))-5),"")</f>
        <v/>
      </c>
      <c r="CS28" s="15" t="str">
        <f t="shared" si="40"/>
        <v/>
      </c>
      <c r="CU28" s="15" t="str">
        <f>IF(AND($B28="Baixo",$C28="Alto"),"23BaAl","")</f>
        <v/>
      </c>
      <c r="CV28" s="15" t="str">
        <f t="shared" si="16"/>
        <v/>
      </c>
      <c r="CW28" s="15" t="str">
        <f>IFERROR(INDEX($CU$6:$CU$30,_xlfn.AGGREGATE(15,6,ROW($CU$6:$CU$30)/($CU$6:$CU$30&lt;&gt;""),ROW(#REF!))-5),"")</f>
        <v/>
      </c>
      <c r="CX28" s="15" t="str">
        <f t="shared" si="41"/>
        <v/>
      </c>
      <c r="CZ28" s="15" t="str">
        <f>IF(AND($B28="Baixo",$C28="Moderado"),"23BaMo","")</f>
        <v/>
      </c>
      <c r="DA28" s="15" t="str">
        <f t="shared" si="17"/>
        <v/>
      </c>
      <c r="DB28" s="15" t="str">
        <f>IFERROR(INDEX($CZ$6:$CZ$30,_xlfn.AGGREGATE(15,6,ROW($CZ$6:$CZ$30)/($CZ$6:$CZ$30&lt;&gt;""),ROW(#REF!))-5),"")</f>
        <v/>
      </c>
      <c r="DC28" s="15" t="str">
        <f t="shared" si="42"/>
        <v/>
      </c>
      <c r="DE28" s="15" t="str">
        <f>IF(AND($B28="Baixo",$C28="Baixo"),"23BaBa","")</f>
        <v/>
      </c>
      <c r="DF28" s="15" t="str">
        <f t="shared" si="18"/>
        <v/>
      </c>
      <c r="DG28" s="15" t="str">
        <f>IFERROR(INDEX($DE$6:$DE$30,_xlfn.AGGREGATE(15,6,ROW($DE$6:$DE$30)/($DE$6:$DE$30&lt;&gt;""),ROW(#REF!))-5),"")</f>
        <v/>
      </c>
      <c r="DH28" s="15" t="str">
        <f t="shared" si="43"/>
        <v/>
      </c>
      <c r="DJ28" s="15" t="str">
        <f>IF(AND($B28="Baixo",$C28="Desprezível"),"23BaDe","")</f>
        <v/>
      </c>
      <c r="DK28" s="15" t="str">
        <f t="shared" si="19"/>
        <v/>
      </c>
      <c r="DL28" s="15" t="str">
        <f>IFERROR(INDEX($DJ$6:$DJ$30,_xlfn.AGGREGATE(15,6,ROW($DJ$6:$DJ$30)/($DJ$6:$DJ$30&lt;&gt;""),ROW(#REF!))-5),"")</f>
        <v/>
      </c>
      <c r="DM28" s="15" t="str">
        <f t="shared" si="44"/>
        <v/>
      </c>
      <c r="DO28" s="16" t="str">
        <f>IF(AND($B28="Desprezível",$C28="Muito Alto"),"23DeMu","")</f>
        <v/>
      </c>
      <c r="DP28" s="16" t="str">
        <f t="shared" si="20"/>
        <v/>
      </c>
      <c r="DQ28" s="16" t="str">
        <f>IFERROR(INDEX($DO$6:$DO$10,_xlfn.AGGREGATE(15,6,ROW($DO$6:$DO$10)/($DO$6:$DO$10&lt;&gt;""),ROW(#REF!))-5),"")</f>
        <v/>
      </c>
      <c r="DR28" s="16" t="str">
        <f t="shared" si="45"/>
        <v/>
      </c>
      <c r="DT28" s="16" t="str">
        <f>IF(AND($B28="Desprezível",$C28="Alto"),"23DeAl","")</f>
        <v/>
      </c>
      <c r="DU28" s="16" t="str">
        <f t="shared" si="21"/>
        <v/>
      </c>
      <c r="DV28" s="16" t="str">
        <f>IFERROR(INDEX($DT$6:$DT$30,_xlfn.AGGREGATE(15,6,ROW($DT$6:$DT$30)/($DT$6:$DT$30&lt;&gt;""),ROW(#REF!))-5),"")</f>
        <v/>
      </c>
      <c r="DW28" s="16" t="str">
        <f t="shared" si="46"/>
        <v/>
      </c>
      <c r="DY28" s="16" t="str">
        <f>IF(AND($B28="Desprezível",$C28="Moderado"),"23DeMo","")</f>
        <v>23DeMo</v>
      </c>
      <c r="DZ28" s="16" t="str">
        <f t="shared" si="22"/>
        <v/>
      </c>
      <c r="EA28" s="16" t="str">
        <f>IFERROR(INDEX($DY$6:$DY$30,_xlfn.AGGREGATE(15,6,ROW($DY$6:$DY$30)/($DY$6:$DY$30&lt;&gt;""),ROW(#REF!))-5),"")</f>
        <v/>
      </c>
      <c r="EB28" s="16" t="str">
        <f t="shared" si="47"/>
        <v/>
      </c>
      <c r="ED28" s="16" t="str">
        <f>IF(AND($B28="Desprezível",$C28="Baixo"),"23DeBa","")</f>
        <v/>
      </c>
      <c r="EE28" s="16" t="str">
        <f t="shared" si="23"/>
        <v/>
      </c>
      <c r="EF28" s="16" t="str">
        <f>IFERROR(INDEX($ED$6:$ED$30,_xlfn.AGGREGATE(15,6,ROW($ED$6:$ED$30)/($ED$6:$ED$30&lt;&gt;""),ROW(#REF!))-5),"")</f>
        <v/>
      </c>
      <c r="EG28" s="16" t="str">
        <f t="shared" si="48"/>
        <v/>
      </c>
      <c r="EI28" s="16" t="str">
        <f>IF(AND($B28="Desprezível",$C28="Desprezível"),"23DeDe","")</f>
        <v/>
      </c>
      <c r="EJ28" s="16" t="str">
        <f t="shared" si="24"/>
        <v/>
      </c>
      <c r="EK28" s="16" t="str">
        <f>IFERROR(INDEX($EI$6:$EI$30,_xlfn.AGGREGATE(15,6,ROW($EI$6:$EI$30)/($EI$6:$EI$30&lt;&gt;""),ROW(#REF!))-5),"")</f>
        <v/>
      </c>
      <c r="EL28" s="16" t="str">
        <f t="shared" si="49"/>
        <v/>
      </c>
      <c r="GF28" s="1"/>
      <c r="GG28" s="1"/>
      <c r="GH28" s="1"/>
      <c r="GI28" s="1"/>
      <c r="GJ28" s="1"/>
    </row>
    <row r="29" spans="1:192" ht="28.5" customHeight="1" x14ac:dyDescent="0.25">
      <c r="A29" s="38" t="s">
        <v>26</v>
      </c>
      <c r="B29" s="40" t="s">
        <v>32</v>
      </c>
      <c r="C29" s="40" t="s">
        <v>31</v>
      </c>
      <c r="G29" s="37"/>
      <c r="H29" s="18"/>
      <c r="I29" s="27"/>
      <c r="J29" s="33"/>
      <c r="K29" s="27"/>
      <c r="L29" s="34"/>
      <c r="S29" s="12" t="str">
        <f>IF(AND($B29="Muito Alto",$C29="Muito Alto"),"24MuMu","")</f>
        <v/>
      </c>
      <c r="T29" s="12" t="str">
        <f t="shared" si="0"/>
        <v/>
      </c>
      <c r="U29" s="12" t="str">
        <f>IFERROR(INDEX($S$6:$S$10,_xlfn.AGGREGATE(15,6,ROW($S$6:$S$10)/($S$6:$S$10&lt;&gt;""),ROW(#REF!))-5),"")</f>
        <v/>
      </c>
      <c r="V29" s="12" t="str">
        <f t="shared" si="25"/>
        <v/>
      </c>
      <c r="X29" s="12" t="str">
        <f>IF(AND($B29="Muito Alto",$C29="Alto"),"24MuAl","")</f>
        <v/>
      </c>
      <c r="Y29" s="12" t="str">
        <f t="shared" si="1"/>
        <v/>
      </c>
      <c r="Z29" s="12" t="str">
        <f>IFERROR(INDEX($X$6:$X$30,_xlfn.AGGREGATE(15,6,ROW($X$6:$X$30)/($X$6:$X$30&lt;&gt;""),ROW(#REF!))-5),"")</f>
        <v/>
      </c>
      <c r="AA29" s="12" t="str">
        <f t="shared" si="26"/>
        <v/>
      </c>
      <c r="AC29" s="12" t="str">
        <f>IF(AND($B29="Muito Alto",$C29="Moderado"),"24MuMo","")</f>
        <v/>
      </c>
      <c r="AD29" s="12" t="str">
        <f t="shared" si="2"/>
        <v/>
      </c>
      <c r="AE29" s="12" t="str">
        <f>IFERROR(INDEX($AC$6:$AC$30,_xlfn.AGGREGATE(15,6,ROW($AC$6:$AC$30)/($AC$6:$AC$30&lt;&gt;""),ROW(#REF!))-5),"")</f>
        <v/>
      </c>
      <c r="AF29" s="12" t="str">
        <f t="shared" si="27"/>
        <v/>
      </c>
      <c r="AH29" s="17" t="str">
        <f>IF(AND($B29="Muito Alto",$C29="Baixo"),"24MuBa","")</f>
        <v/>
      </c>
      <c r="AI29" s="12" t="str">
        <f t="shared" si="3"/>
        <v/>
      </c>
      <c r="AJ29" s="12" t="str">
        <f>IFERROR(INDEX($AH$6:$AH$30,_xlfn.AGGREGATE(15,6,ROW($AH$6:$AH$30)/($AH$6:$AH$30&lt;&gt;""),ROW(#REF!))-5),"")</f>
        <v/>
      </c>
      <c r="AK29" s="12" t="str">
        <f t="shared" si="28"/>
        <v/>
      </c>
      <c r="AM29" s="12" t="str">
        <f>IF(AND($B29="Muito Alto",$C29="Desprezível"),"24MuDe","")</f>
        <v/>
      </c>
      <c r="AN29" s="12" t="str">
        <f t="shared" si="4"/>
        <v/>
      </c>
      <c r="AO29" s="12" t="str">
        <f>IFERROR(INDEX($AM$6:$AM$30,_xlfn.AGGREGATE(15,6,ROW($AM$6:$AM$30)/($AM$6:$AM$30&lt;&gt;""),ROW(#REF!))-5),"")</f>
        <v/>
      </c>
      <c r="AP29" s="12" t="str">
        <f t="shared" si="29"/>
        <v/>
      </c>
      <c r="AR29" s="13" t="str">
        <f>IF(AND($B29="Alto",$C29="Muito Alto"),"24AlMu","")</f>
        <v/>
      </c>
      <c r="AS29" s="13" t="str">
        <f t="shared" si="5"/>
        <v/>
      </c>
      <c r="AT29" s="13" t="str">
        <f>IFERROR(INDEX($AR$6:$AR$10,_xlfn.AGGREGATE(15,6,ROW($AR$6:$AR$10)/($AR$6:$AR$10&lt;&gt;""),ROW(#REF!))-5),"")</f>
        <v/>
      </c>
      <c r="AU29" s="13" t="str">
        <f t="shared" si="30"/>
        <v/>
      </c>
      <c r="AW29" s="13" t="str">
        <f>IF(AND($B29="Alto",$C29="Alto"),"24AlAl","")</f>
        <v/>
      </c>
      <c r="AX29" s="13" t="str">
        <f t="shared" si="6"/>
        <v/>
      </c>
      <c r="AY29" s="13" t="str">
        <f>IFERROR(INDEX($AW$6:$AW$30,_xlfn.AGGREGATE(15,6,ROW($AW$6:$AW$30)/($AW$6:$AW$30&lt;&gt;""),ROW(#REF!))-5),"")</f>
        <v/>
      </c>
      <c r="AZ29" s="13" t="str">
        <f t="shared" si="31"/>
        <v/>
      </c>
      <c r="BB29" s="13" t="str">
        <f>IF(AND($B29="Alto",$C29="Moderado"),"24AlMo","")</f>
        <v/>
      </c>
      <c r="BC29" s="13" t="str">
        <f t="shared" si="7"/>
        <v/>
      </c>
      <c r="BD29" s="13" t="str">
        <f>IFERROR(INDEX($BB$6:$BB$30,_xlfn.AGGREGATE(15,6,ROW($BB$6:$BB$30)/($BB$6:$BB$30&lt;&gt;""),ROW(#REF!))-5),"")</f>
        <v/>
      </c>
      <c r="BE29" s="13" t="str">
        <f t="shared" si="32"/>
        <v/>
      </c>
      <c r="BG29" s="13" t="str">
        <f>IF(AND($B29="Alto",$C29="Baixo"),"24AlBa","")</f>
        <v/>
      </c>
      <c r="BH29" s="13" t="str">
        <f t="shared" si="8"/>
        <v/>
      </c>
      <c r="BI29" s="13" t="str">
        <f>IFERROR(INDEX($BG$6:$BG$30,_xlfn.AGGREGATE(15,6,ROW($BG$6:$BG$30)/($BG$6:$BG$30&lt;&gt;""),ROW(#REF!))-5),"")</f>
        <v/>
      </c>
      <c r="BJ29" s="13" t="str">
        <f t="shared" si="33"/>
        <v/>
      </c>
      <c r="BL29" s="13" t="str">
        <f>IF(AND($B29="Alto",$C29="Desprezível"),"24AlDe","")</f>
        <v/>
      </c>
      <c r="BM29" s="13" t="str">
        <f t="shared" si="9"/>
        <v/>
      </c>
      <c r="BN29" s="13" t="str">
        <f>IFERROR(INDEX($BL$6:$BL$30,_xlfn.AGGREGATE(15,6,ROW($BL$6:$BL$30)/($BL$6:$BL$30&lt;&gt;""),ROW(#REF!))-5),"")</f>
        <v/>
      </c>
      <c r="BO29" s="13" t="str">
        <f t="shared" si="34"/>
        <v/>
      </c>
      <c r="BQ29" s="14" t="str">
        <f>IF(AND($B29="Moderado",$C29="Muito Alto"),"24MoMu","")</f>
        <v/>
      </c>
      <c r="BR29" s="14" t="str">
        <f t="shared" si="10"/>
        <v/>
      </c>
      <c r="BS29" s="14" t="str">
        <f>IFERROR(INDEX($BQ$6:$BQ$10,_xlfn.AGGREGATE(15,6,ROW($BQ$6:$BQ$10)/($BQ$6:$BQ$10&lt;&gt;""),ROW(#REF!))-5),"")</f>
        <v/>
      </c>
      <c r="BT29" s="14" t="str">
        <f t="shared" si="35"/>
        <v/>
      </c>
      <c r="BV29" s="14" t="str">
        <f>IF(AND($B29="Moderado",$C29="Alto"),"24MoAl","")</f>
        <v/>
      </c>
      <c r="BW29" s="14" t="str">
        <f t="shared" si="11"/>
        <v/>
      </c>
      <c r="BX29" s="14" t="str">
        <f>IFERROR(INDEX($BV$6:$BV$30,_xlfn.AGGREGATE(15,6,ROW($BV$6:$BV$30)/($BV$6:$BV$30&lt;&gt;""),ROW(#REF!))-5),"")</f>
        <v/>
      </c>
      <c r="BY29" s="14" t="str">
        <f t="shared" si="36"/>
        <v/>
      </c>
      <c r="CA29" s="14" t="str">
        <f>IF(AND($B29="Moderado",$C29="Moderado"),"24MoMo","")</f>
        <v/>
      </c>
      <c r="CB29" s="14" t="str">
        <f t="shared" si="12"/>
        <v/>
      </c>
      <c r="CC29" s="14" t="str">
        <f>IFERROR(INDEX($CA$6:$CA$30,_xlfn.AGGREGATE(15,6,ROW($CA$6:$CA$30)/($CA$6:$CA$30&lt;&gt;""),ROW(#REF!))-5),"")</f>
        <v/>
      </c>
      <c r="CD29" s="14" t="str">
        <f t="shared" si="37"/>
        <v/>
      </c>
      <c r="CF29" s="14" t="str">
        <f>IF(AND($B29="Moderado",$C29="Baixo"),"24MoBa","")</f>
        <v/>
      </c>
      <c r="CG29" s="14" t="str">
        <f t="shared" si="13"/>
        <v/>
      </c>
      <c r="CH29" s="14" t="str">
        <f>IFERROR(INDEX($CF$6:$CF$30,_xlfn.AGGREGATE(15,6,ROW($CF$6:$CF$30)/($CF$6:$CF$30&lt;&gt;""),ROW(#REF!))-5),"")</f>
        <v/>
      </c>
      <c r="CI29" s="14" t="str">
        <f t="shared" si="38"/>
        <v/>
      </c>
      <c r="CK29" s="14" t="str">
        <f>IF(AND($B29="Moderado",$C29="Desprezível"),"24MoDe","")</f>
        <v/>
      </c>
      <c r="CL29" s="14" t="str">
        <f t="shared" si="14"/>
        <v/>
      </c>
      <c r="CM29" s="14" t="str">
        <f>IFERROR(INDEX($CK$6:$CK$30,_xlfn.AGGREGATE(15,6,ROW($CK$6:$CK$30)/($CK$6:$CK$30&lt;&gt;""),ROW(#REF!))-5),"")</f>
        <v/>
      </c>
      <c r="CN29" s="14" t="str">
        <f t="shared" si="39"/>
        <v/>
      </c>
      <c r="CP29" s="15" t="str">
        <f>IF(AND($B29="Baixo",$C29="Muito Alto"),"24BaMu","")</f>
        <v/>
      </c>
      <c r="CQ29" s="15" t="str">
        <f t="shared" si="15"/>
        <v/>
      </c>
      <c r="CR29" s="15" t="str">
        <f>IFERROR(INDEX($CP$6:$CP$30,_xlfn.AGGREGATE(15,6,ROW($CP$6:$CP$30)/($CP$6:$CP$30&lt;&gt;""),ROW(#REF!))-5),"")</f>
        <v/>
      </c>
      <c r="CS29" s="15" t="str">
        <f t="shared" si="40"/>
        <v/>
      </c>
      <c r="CU29" s="15" t="str">
        <f>IF(AND($B29="Baixo",$C29="Alto"),"24BaAl","")</f>
        <v/>
      </c>
      <c r="CV29" s="15" t="str">
        <f t="shared" si="16"/>
        <v/>
      </c>
      <c r="CW29" s="15" t="str">
        <f>IFERROR(INDEX($CU$6:$CU$30,_xlfn.AGGREGATE(15,6,ROW($CU$6:$CU$30)/($CU$6:$CU$30&lt;&gt;""),ROW(#REF!))-5),"")</f>
        <v/>
      </c>
      <c r="CX29" s="15" t="str">
        <f t="shared" si="41"/>
        <v/>
      </c>
      <c r="CZ29" s="15" t="str">
        <f>IF(AND($B29="Baixo",$C29="Moderado"),"24BaMo","")</f>
        <v/>
      </c>
      <c r="DA29" s="15" t="str">
        <f t="shared" si="17"/>
        <v/>
      </c>
      <c r="DB29" s="15" t="str">
        <f>IFERROR(INDEX($CZ$6:$CZ$30,_xlfn.AGGREGATE(15,6,ROW($CZ$6:$CZ$30)/($CZ$6:$CZ$30&lt;&gt;""),ROW(#REF!))-5),"")</f>
        <v/>
      </c>
      <c r="DC29" s="15" t="str">
        <f t="shared" si="42"/>
        <v/>
      </c>
      <c r="DE29" s="15" t="str">
        <f>IF(AND($B29="Baixo",$C29="Baixo"),"24BaBa","")</f>
        <v/>
      </c>
      <c r="DF29" s="15" t="str">
        <f t="shared" si="18"/>
        <v/>
      </c>
      <c r="DG29" s="15" t="str">
        <f>IFERROR(INDEX($DE$6:$DE$30,_xlfn.AGGREGATE(15,6,ROW($DE$6:$DE$30)/($DE$6:$DE$30&lt;&gt;""),ROW(#REF!))-5),"")</f>
        <v/>
      </c>
      <c r="DH29" s="15" t="str">
        <f t="shared" si="43"/>
        <v/>
      </c>
      <c r="DJ29" s="15" t="str">
        <f>IF(AND($B29="Baixo",$C29="Desprezível"),"24BaDe","")</f>
        <v/>
      </c>
      <c r="DK29" s="15" t="str">
        <f t="shared" si="19"/>
        <v/>
      </c>
      <c r="DL29" s="15" t="str">
        <f>IFERROR(INDEX($DJ$6:$DJ$30,_xlfn.AGGREGATE(15,6,ROW($DJ$6:$DJ$30)/($DJ$6:$DJ$30&lt;&gt;""),ROW(#REF!))-5),"")</f>
        <v/>
      </c>
      <c r="DM29" s="15" t="str">
        <f t="shared" si="44"/>
        <v/>
      </c>
      <c r="DO29" s="16" t="str">
        <f>IF(AND($B29="Desprezível",$C29="Muito Alto"),"24DeMu","")</f>
        <v/>
      </c>
      <c r="DP29" s="16" t="str">
        <f t="shared" si="20"/>
        <v/>
      </c>
      <c r="DQ29" s="16" t="str">
        <f>IFERROR(INDEX($DO$6:$DO$10,_xlfn.AGGREGATE(15,6,ROW($DO$6:$DO$10)/($DO$6:$DO$10&lt;&gt;""),ROW(#REF!))-5),"")</f>
        <v/>
      </c>
      <c r="DR29" s="16" t="str">
        <f t="shared" si="45"/>
        <v/>
      </c>
      <c r="DT29" s="16" t="str">
        <f>IF(AND($B29="Desprezível",$C29="Alto"),"24DeAl","")</f>
        <v/>
      </c>
      <c r="DU29" s="16" t="str">
        <f t="shared" si="21"/>
        <v/>
      </c>
      <c r="DV29" s="16" t="str">
        <f>IFERROR(INDEX($DT$6:$DT$30,_xlfn.AGGREGATE(15,6,ROW($DT$6:$DT$30)/($DT$6:$DT$30&lt;&gt;""),ROW(#REF!))-5),"")</f>
        <v/>
      </c>
      <c r="DW29" s="16" t="str">
        <f t="shared" si="46"/>
        <v/>
      </c>
      <c r="DY29" s="16" t="str">
        <f>IF(AND($B29="Desprezível",$C29="Moderado"),"24DeMo","")</f>
        <v/>
      </c>
      <c r="DZ29" s="16" t="str">
        <f t="shared" si="22"/>
        <v/>
      </c>
      <c r="EA29" s="16" t="str">
        <f>IFERROR(INDEX($DY$6:$DY$30,_xlfn.AGGREGATE(15,6,ROW($DY$6:$DY$30)/($DY$6:$DY$30&lt;&gt;""),ROW(#REF!))-5),"")</f>
        <v/>
      </c>
      <c r="EB29" s="16" t="str">
        <f t="shared" si="47"/>
        <v/>
      </c>
      <c r="ED29" s="16" t="str">
        <f>IF(AND($B29="Desprezível",$C29="Baixo"),"24DeBa","")</f>
        <v>24DeBa</v>
      </c>
      <c r="EE29" s="16" t="str">
        <f t="shared" si="23"/>
        <v/>
      </c>
      <c r="EF29" s="16" t="str">
        <f>IFERROR(INDEX($ED$6:$ED$30,_xlfn.AGGREGATE(15,6,ROW($ED$6:$ED$30)/($ED$6:$ED$30&lt;&gt;""),ROW(#REF!))-5),"")</f>
        <v/>
      </c>
      <c r="EG29" s="16" t="str">
        <f t="shared" si="48"/>
        <v/>
      </c>
      <c r="EI29" s="16" t="str">
        <f>IF(AND($B29="Desprezível",$C29="Desprezível"),"24DeDe","")</f>
        <v/>
      </c>
      <c r="EJ29" s="16" t="str">
        <f t="shared" si="24"/>
        <v/>
      </c>
      <c r="EK29" s="16" t="str">
        <f>IFERROR(INDEX($EI$6:$EI$30,_xlfn.AGGREGATE(15,6,ROW($EI$6:$EI$30)/($EI$6:$EI$30&lt;&gt;""),ROW(#REF!))-5),"")</f>
        <v/>
      </c>
      <c r="EL29" s="16" t="str">
        <f t="shared" si="49"/>
        <v/>
      </c>
      <c r="GF29" s="1"/>
      <c r="GG29" s="1"/>
      <c r="GH29" s="1"/>
      <c r="GI29" s="1"/>
      <c r="GJ29" s="1"/>
    </row>
    <row r="30" spans="1:192" ht="28.5" customHeight="1" x14ac:dyDescent="0.25">
      <c r="A30" s="38" t="s">
        <v>27</v>
      </c>
      <c r="B30" s="40" t="s">
        <v>32</v>
      </c>
      <c r="C30" s="40" t="s">
        <v>32</v>
      </c>
      <c r="S30" s="12" t="str">
        <f>IF(AND($B30="Muito Alto",$C30="Muito Alto"),"25MuMu","")</f>
        <v/>
      </c>
      <c r="T30" s="12" t="str">
        <f t="shared" si="0"/>
        <v/>
      </c>
      <c r="U30" s="12" t="str">
        <f>IFERROR(INDEX($S$6:$S$10,_xlfn.AGGREGATE(15,6,ROW($S$6:$S$10)/($S$6:$S$10&lt;&gt;""),ROW(#REF!))-5),"")</f>
        <v/>
      </c>
      <c r="V30" s="12" t="str">
        <f t="shared" si="25"/>
        <v/>
      </c>
      <c r="X30" s="12" t="str">
        <f>IF(AND($B30="Muito Alto",$C30="Alto"),"25MuAl","")</f>
        <v/>
      </c>
      <c r="Y30" s="12" t="str">
        <f t="shared" si="1"/>
        <v/>
      </c>
      <c r="Z30" s="12" t="str">
        <f>IFERROR(INDEX($X$6:$X$30,_xlfn.AGGREGATE(15,6,ROW($X$6:$X$30)/($X$6:$X$30&lt;&gt;""),ROW(#REF!))-5),"")</f>
        <v/>
      </c>
      <c r="AA30" s="12" t="str">
        <f t="shared" si="26"/>
        <v/>
      </c>
      <c r="AC30" s="12" t="str">
        <f>IF(AND($B30="Muito Alto",$C30="Moderado"),"25MuMo","")</f>
        <v/>
      </c>
      <c r="AD30" s="12" t="str">
        <f t="shared" si="2"/>
        <v/>
      </c>
      <c r="AE30" s="12" t="str">
        <f>IFERROR(INDEX($AC$6:$AC$30,_xlfn.AGGREGATE(15,6,ROW($AC$6:$AC$30)/($AC$6:$AC$30&lt;&gt;""),ROW(#REF!))-5),"")</f>
        <v/>
      </c>
      <c r="AF30" s="12" t="str">
        <f t="shared" si="27"/>
        <v/>
      </c>
      <c r="AH30" s="17" t="str">
        <f>IF(AND($B30="Muito Alto",$C30="Baixo"),"25MuBa","")</f>
        <v/>
      </c>
      <c r="AI30" s="12" t="str">
        <f t="shared" si="3"/>
        <v/>
      </c>
      <c r="AJ30" s="12" t="str">
        <f>IFERROR(INDEX($AH$6:$AH$30,_xlfn.AGGREGATE(15,6,ROW($AH$6:$AH$30)/($AH$6:$AH$30&lt;&gt;""),ROW(#REF!))-5),"")</f>
        <v/>
      </c>
      <c r="AK30" s="12" t="str">
        <f t="shared" si="28"/>
        <v/>
      </c>
      <c r="AM30" s="12" t="str">
        <f>IF(AND($B30="Muito Alto",$C30="Desprezível"),"25MuDe","")</f>
        <v/>
      </c>
      <c r="AN30" s="12" t="str">
        <f t="shared" si="4"/>
        <v/>
      </c>
      <c r="AO30" s="12" t="str">
        <f>IFERROR(INDEX($AM$6:$AM$30,_xlfn.AGGREGATE(15,6,ROW($AM$6:$AM$30)/($AM$6:$AM$30&lt;&gt;""),ROW(#REF!))-5),"")</f>
        <v/>
      </c>
      <c r="AP30" s="12" t="str">
        <f t="shared" si="29"/>
        <v/>
      </c>
      <c r="AR30" s="13" t="str">
        <f>IF(AND($B30="Alto",$C30="Muito Alto"),"25AlMu","")</f>
        <v/>
      </c>
      <c r="AS30" s="13" t="str">
        <f t="shared" si="5"/>
        <v/>
      </c>
      <c r="AT30" s="13" t="str">
        <f>IFERROR(INDEX($AR$6:$AR$10,_xlfn.AGGREGATE(15,6,ROW($AR$6:$AR$10)/($AR$6:$AR$10&lt;&gt;""),ROW(#REF!))-5),"")</f>
        <v/>
      </c>
      <c r="AU30" s="13" t="str">
        <f t="shared" si="30"/>
        <v/>
      </c>
      <c r="AW30" s="13" t="str">
        <f>IF(AND($B30="Alto",$C30="Alto"),"25AlAl","")</f>
        <v/>
      </c>
      <c r="AX30" s="13" t="str">
        <f t="shared" si="6"/>
        <v/>
      </c>
      <c r="AY30" s="13" t="str">
        <f>IFERROR(INDEX($AW$6:$AW$30,_xlfn.AGGREGATE(15,6,ROW($AW$6:$AW$30)/($AW$6:$AW$30&lt;&gt;""),ROW(#REF!))-5),"")</f>
        <v/>
      </c>
      <c r="AZ30" s="13" t="str">
        <f t="shared" si="31"/>
        <v/>
      </c>
      <c r="BB30" s="13" t="str">
        <f>IF(AND($B30="Alto",$C30="Moderado"),"25AlMo","")</f>
        <v/>
      </c>
      <c r="BC30" s="13" t="str">
        <f t="shared" si="7"/>
        <v/>
      </c>
      <c r="BD30" s="13" t="str">
        <f>IFERROR(INDEX($BB$6:$BB$30,_xlfn.AGGREGATE(15,6,ROW($BB$6:$BB$30)/($BB$6:$BB$30&lt;&gt;""),ROW(#REF!))-5),"")</f>
        <v/>
      </c>
      <c r="BE30" s="13" t="str">
        <f t="shared" si="32"/>
        <v/>
      </c>
      <c r="BG30" s="13" t="str">
        <f>IF(AND($B30="Alto",$C30="Baixo"),"25AlBa","")</f>
        <v/>
      </c>
      <c r="BH30" s="13" t="str">
        <f t="shared" si="8"/>
        <v/>
      </c>
      <c r="BI30" s="13" t="str">
        <f>IFERROR(INDEX($BG$6:$BG$30,_xlfn.AGGREGATE(15,6,ROW($BG$6:$BG$30)/($BG$6:$BG$30&lt;&gt;""),ROW(#REF!))-5),"")</f>
        <v/>
      </c>
      <c r="BJ30" s="13" t="str">
        <f t="shared" si="33"/>
        <v/>
      </c>
      <c r="BL30" s="13" t="str">
        <f>IF(AND($B30="Alto",$C30="Desprezível"),"25AlDe","")</f>
        <v/>
      </c>
      <c r="BM30" s="13" t="str">
        <f t="shared" si="9"/>
        <v/>
      </c>
      <c r="BN30" s="13" t="str">
        <f>IFERROR(INDEX($BL$6:$BL$30,_xlfn.AGGREGATE(15,6,ROW($BL$6:$BL$30)/($BL$6:$BL$30&lt;&gt;""),ROW(#REF!))-5),"")</f>
        <v/>
      </c>
      <c r="BO30" s="13" t="str">
        <f t="shared" si="34"/>
        <v/>
      </c>
      <c r="BQ30" s="14" t="str">
        <f>IF(AND($B30="Moderado",$C30="Muito Alto"),"25MoMu","")</f>
        <v/>
      </c>
      <c r="BR30" s="14" t="str">
        <f t="shared" si="10"/>
        <v/>
      </c>
      <c r="BS30" s="14" t="str">
        <f>IFERROR(INDEX($BQ$6:$BQ$10,_xlfn.AGGREGATE(15,6,ROW($BQ$6:$BQ$10)/($BQ$6:$BQ$10&lt;&gt;""),ROW(#REF!))-5),"")</f>
        <v/>
      </c>
      <c r="BT30" s="14" t="str">
        <f t="shared" si="35"/>
        <v/>
      </c>
      <c r="BV30" s="14" t="str">
        <f>IF(AND($B30="Moderado",$C30="Alto"),"25MoAl","")</f>
        <v/>
      </c>
      <c r="BW30" s="14" t="str">
        <f t="shared" si="11"/>
        <v/>
      </c>
      <c r="BX30" s="14" t="str">
        <f>IFERROR(INDEX($BV$6:$BV$30,_xlfn.AGGREGATE(15,6,ROW($BV$6:$BV$30)/($BV$6:$BV$30&lt;&gt;""),ROW(#REF!))-5),"")</f>
        <v/>
      </c>
      <c r="BY30" s="14" t="str">
        <f t="shared" si="36"/>
        <v/>
      </c>
      <c r="CA30" s="14" t="str">
        <f>IF(AND($B30="Moderado",$C30="Moderado"),"25MoMo","")</f>
        <v/>
      </c>
      <c r="CB30" s="14" t="str">
        <f t="shared" si="12"/>
        <v/>
      </c>
      <c r="CC30" s="14" t="str">
        <f>IFERROR(INDEX($CA$6:$CA$30,_xlfn.AGGREGATE(15,6,ROW($CA$6:$CA$30)/($CA$6:$CA$30&lt;&gt;""),ROW(#REF!))-5),"")</f>
        <v/>
      </c>
      <c r="CD30" s="14" t="str">
        <f t="shared" si="37"/>
        <v/>
      </c>
      <c r="CF30" s="14" t="str">
        <f>IF(AND($B30="Moderado",$C30="Baixo"),"25MoBa","")</f>
        <v/>
      </c>
      <c r="CG30" s="14" t="str">
        <f t="shared" si="13"/>
        <v/>
      </c>
      <c r="CH30" s="14" t="str">
        <f>IFERROR(INDEX($CF$6:$CF$30,_xlfn.AGGREGATE(15,6,ROW($CF$6:$CF$30)/($CF$6:$CF$30&lt;&gt;""),ROW(#REF!))-5),"")</f>
        <v/>
      </c>
      <c r="CI30" s="14" t="str">
        <f t="shared" si="38"/>
        <v/>
      </c>
      <c r="CK30" s="14" t="str">
        <f>IF(AND($B30="Moderado",$C30="Desprezível"),"25MoDe","")</f>
        <v/>
      </c>
      <c r="CL30" s="14" t="str">
        <f t="shared" si="14"/>
        <v/>
      </c>
      <c r="CM30" s="14" t="str">
        <f>IFERROR(INDEX($CK$6:$CK$30,_xlfn.AGGREGATE(15,6,ROW($CK$6:$CK$30)/($CK$6:$CK$30&lt;&gt;""),ROW(#REF!))-5),"")</f>
        <v/>
      </c>
      <c r="CN30" s="14" t="str">
        <f t="shared" si="39"/>
        <v/>
      </c>
      <c r="CP30" s="15" t="str">
        <f>IF(AND($B30="Baixo",$C30="Muito Alto"),"25BaMu","")</f>
        <v/>
      </c>
      <c r="CQ30" s="15" t="str">
        <f t="shared" si="15"/>
        <v/>
      </c>
      <c r="CR30" s="15" t="str">
        <f>IFERROR(INDEX($CP$6:$CP$30,_xlfn.AGGREGATE(15,6,ROW($CP$6:$CP$30)/($CP$6:$CP$30&lt;&gt;""),ROW(#REF!))-5),"")</f>
        <v/>
      </c>
      <c r="CS30" s="15" t="str">
        <f t="shared" si="40"/>
        <v/>
      </c>
      <c r="CU30" s="15" t="str">
        <f>IF(AND($B30="Baixo",$C30="Alto"),"25BaAl","")</f>
        <v/>
      </c>
      <c r="CV30" s="15" t="str">
        <f t="shared" si="16"/>
        <v/>
      </c>
      <c r="CW30" s="15" t="str">
        <f>IFERROR(INDEX($CU$6:$CU$30,_xlfn.AGGREGATE(15,6,ROW($CU$6:$CU$30)/($CU$6:$CU$30&lt;&gt;""),ROW(#REF!))-5),"")</f>
        <v/>
      </c>
      <c r="CX30" s="15" t="str">
        <f t="shared" si="41"/>
        <v/>
      </c>
      <c r="CZ30" s="15" t="str">
        <f>IF(AND($B30="Baixo",$C30="Moderado"),"25BaMo","")</f>
        <v/>
      </c>
      <c r="DA30" s="15" t="str">
        <f t="shared" si="17"/>
        <v/>
      </c>
      <c r="DB30" s="15" t="str">
        <f>IFERROR(INDEX($CZ$6:$CZ$30,_xlfn.AGGREGATE(15,6,ROW($CZ$6:$CZ$30)/($CZ$6:$CZ$30&lt;&gt;""),ROW(#REF!))-5),"")</f>
        <v/>
      </c>
      <c r="DC30" s="15" t="str">
        <f t="shared" si="42"/>
        <v/>
      </c>
      <c r="DE30" s="15" t="str">
        <f>IF(AND($B30="Baixo",$C30="Baixo"),"25BaBa","")</f>
        <v/>
      </c>
      <c r="DF30" s="15" t="str">
        <f t="shared" si="18"/>
        <v/>
      </c>
      <c r="DG30" s="15" t="str">
        <f>IFERROR(INDEX($DE$6:$DE$30,_xlfn.AGGREGATE(15,6,ROW($DE$6:$DE$30)/($DE$6:$DE$30&lt;&gt;""),ROW(#REF!))-5),"")</f>
        <v/>
      </c>
      <c r="DH30" s="15" t="str">
        <f t="shared" si="43"/>
        <v/>
      </c>
      <c r="DJ30" s="15" t="str">
        <f>IF(AND($B30="Baixo",$C30="Desprezível"),"25BaDe","")</f>
        <v/>
      </c>
      <c r="DK30" s="15" t="str">
        <f t="shared" si="19"/>
        <v/>
      </c>
      <c r="DL30" s="15" t="str">
        <f>IFERROR(INDEX($DJ$6:$DJ$30,_xlfn.AGGREGATE(15,6,ROW($DJ$6:$DJ$30)/($DJ$6:$DJ$30&lt;&gt;""),ROW(#REF!))-5),"")</f>
        <v/>
      </c>
      <c r="DM30" s="15" t="str">
        <f t="shared" si="44"/>
        <v/>
      </c>
      <c r="DO30" s="16" t="str">
        <f>IF(AND($B30="Desprezível",$C30="Muito Alto"),"25DeMu","")</f>
        <v/>
      </c>
      <c r="DP30" s="16" t="str">
        <f t="shared" si="20"/>
        <v/>
      </c>
      <c r="DQ30" s="16" t="str">
        <f>IFERROR(INDEX($DO$6:$DO$10,_xlfn.AGGREGATE(15,6,ROW($DO$6:$DO$10)/($DO$6:$DO$10&lt;&gt;""),ROW(#REF!))-5),"")</f>
        <v/>
      </c>
      <c r="DR30" s="16" t="str">
        <f t="shared" si="45"/>
        <v/>
      </c>
      <c r="DT30" s="16" t="str">
        <f>IF(AND($B30="Desprezível",$C30="Alto"),"25DeAl","")</f>
        <v/>
      </c>
      <c r="DU30" s="16" t="str">
        <f t="shared" si="21"/>
        <v/>
      </c>
      <c r="DV30" s="16" t="str">
        <f>IFERROR(INDEX($DT$6:$DT$30,_xlfn.AGGREGATE(15,6,ROW($DT$6:$DT$30)/($DT$6:$DT$30&lt;&gt;""),ROW(#REF!))-5),"")</f>
        <v/>
      </c>
      <c r="DW30" s="16" t="str">
        <f t="shared" si="46"/>
        <v/>
      </c>
      <c r="DY30" s="16" t="str">
        <f>IF(AND($B30="Desprezível",$C30="Moderado"),"25DeMo","")</f>
        <v/>
      </c>
      <c r="DZ30" s="16" t="str">
        <f t="shared" si="22"/>
        <v/>
      </c>
      <c r="EA30" s="16" t="str">
        <f>IFERROR(INDEX($DY$6:$DY$30,_xlfn.AGGREGATE(15,6,ROW($DY$6:$DY$30)/($DY$6:$DY$30&lt;&gt;""),ROW(#REF!))-5),"")</f>
        <v/>
      </c>
      <c r="EB30" s="16" t="str">
        <f t="shared" si="47"/>
        <v/>
      </c>
      <c r="ED30" s="16" t="str">
        <f>IF(AND($B30="Desprezível",$C30="Baixo"),"25DeBa","")</f>
        <v/>
      </c>
      <c r="EE30" s="16" t="str">
        <f t="shared" si="23"/>
        <v/>
      </c>
      <c r="EF30" s="16" t="str">
        <f>IFERROR(INDEX($ED$6:$ED$30,_xlfn.AGGREGATE(15,6,ROW($ED$6:$ED$30)/($ED$6:$ED$30&lt;&gt;""),ROW(#REF!))-5),"")</f>
        <v/>
      </c>
      <c r="EG30" s="16" t="str">
        <f t="shared" si="48"/>
        <v/>
      </c>
      <c r="EI30" s="16" t="str">
        <f>IF(AND($B30="Desprezível",$C30="Desprezível"),"25DeDe","")</f>
        <v>25DeDe</v>
      </c>
      <c r="EJ30" s="16" t="str">
        <f t="shared" si="24"/>
        <v/>
      </c>
      <c r="EK30" s="16" t="str">
        <f>IFERROR(INDEX($EI$6:$EI$30,_xlfn.AGGREGATE(15,6,ROW($EI$6:$EI$30)/($EI$6:$EI$30&lt;&gt;""),ROW(#REF!))-5),"")</f>
        <v/>
      </c>
      <c r="EL30" s="16" t="str">
        <f t="shared" si="49"/>
        <v/>
      </c>
      <c r="GF30" s="1"/>
      <c r="GG30" s="1"/>
      <c r="GH30" s="1"/>
      <c r="GI30" s="1"/>
      <c r="GJ30" s="1"/>
    </row>
    <row r="31" spans="1:192" ht="28.5" customHeight="1" x14ac:dyDescent="0.25">
      <c r="A31" s="38" t="s">
        <v>28</v>
      </c>
      <c r="B31" s="40" t="s">
        <v>2</v>
      </c>
      <c r="C31" s="40" t="s">
        <v>31</v>
      </c>
      <c r="GF31" s="1"/>
      <c r="GG31" s="1"/>
      <c r="GH31" s="1"/>
      <c r="GI31" s="1"/>
      <c r="GJ31" s="1"/>
    </row>
    <row r="32" spans="1:192" ht="28.5" customHeight="1" x14ac:dyDescent="0.25">
      <c r="A32" s="38" t="s">
        <v>33</v>
      </c>
      <c r="B32" s="40" t="s">
        <v>31</v>
      </c>
      <c r="C32" s="40" t="s">
        <v>31</v>
      </c>
      <c r="GF32" s="1"/>
      <c r="GG32" s="1"/>
      <c r="GH32" s="1"/>
      <c r="GI32" s="1"/>
      <c r="GJ32" s="1"/>
    </row>
    <row r="33" spans="1:192" ht="28.5" customHeight="1" x14ac:dyDescent="0.25">
      <c r="A33" s="38" t="s">
        <v>34</v>
      </c>
      <c r="B33" s="40" t="s">
        <v>30</v>
      </c>
      <c r="C33" s="40" t="s">
        <v>31</v>
      </c>
      <c r="GF33" s="1"/>
      <c r="GG33" s="1"/>
      <c r="GH33" s="1"/>
      <c r="GI33" s="1"/>
      <c r="GJ33" s="1"/>
    </row>
    <row r="34" spans="1:192" ht="28.5" customHeight="1" x14ac:dyDescent="0.25">
      <c r="A34" s="38" t="s">
        <v>35</v>
      </c>
      <c r="B34" s="40" t="s">
        <v>29</v>
      </c>
      <c r="C34" s="40" t="s">
        <v>31</v>
      </c>
      <c r="GF34" s="1"/>
      <c r="GG34" s="1"/>
      <c r="GH34" s="1"/>
      <c r="GI34" s="1"/>
      <c r="GJ34" s="1"/>
    </row>
    <row r="35" spans="1:192" ht="28.5" customHeight="1" x14ac:dyDescent="0.25">
      <c r="A35" s="38" t="s">
        <v>36</v>
      </c>
      <c r="B35" s="40" t="s">
        <v>2</v>
      </c>
      <c r="C35" s="40" t="s">
        <v>31</v>
      </c>
    </row>
    <row r="36" spans="1:192" ht="28.5" customHeight="1" x14ac:dyDescent="0.25">
      <c r="A36" s="38" t="s">
        <v>37</v>
      </c>
      <c r="B36" s="40" t="s">
        <v>30</v>
      </c>
      <c r="C36" s="39" t="s">
        <v>2</v>
      </c>
    </row>
  </sheetData>
  <mergeCells count="1">
    <mergeCell ref="G5:G29"/>
  </mergeCells>
  <dataValidations count="1">
    <dataValidation type="list" allowBlank="1" showInputMessage="1" showErrorMessage="1" sqref="B6:C36" xr:uid="{5373C1C1-0048-444D-8FAB-22BB7D56E118}">
      <formula1>"Desprezível,Baixo,Moderado,Alto,Muito Alto"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</dc:creator>
  <cp:lastModifiedBy>Adriano</cp:lastModifiedBy>
  <dcterms:created xsi:type="dcterms:W3CDTF">2021-01-30T11:48:11Z</dcterms:created>
  <dcterms:modified xsi:type="dcterms:W3CDTF">2021-01-30T12:07:15Z</dcterms:modified>
</cp:coreProperties>
</file>