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872" yWindow="432" windowWidth="6876" windowHeight="8892" tabRatio="806"/>
  </bookViews>
  <sheets>
    <sheet name="Preços Insumos e Serviços" sheetId="8" r:id="rId1"/>
    <sheet name="MATRIZ" sheetId="7" r:id="rId2"/>
  </sheets>
  <definedNames>
    <definedName name="_xlnm.Print_Area" localSheetId="1">MATRIZ!$B$3:$M$55</definedName>
  </definedNames>
  <calcPr calcId="145621"/>
</workbook>
</file>

<file path=xl/calcChain.xml><?xml version="1.0" encoding="utf-8"?>
<calcChain xmlns="http://schemas.openxmlformats.org/spreadsheetml/2006/main">
  <c r="O16" i="7"/>
  <c r="O14"/>
  <c r="K22" l="1"/>
  <c r="I22"/>
  <c r="E22"/>
  <c r="L47"/>
  <c r="L46"/>
  <c r="L32"/>
  <c r="L49"/>
  <c r="L43"/>
  <c r="L39"/>
  <c r="F47" l="1"/>
  <c r="F46"/>
  <c r="F22"/>
  <c r="F39"/>
  <c r="L22"/>
  <c r="J22"/>
  <c r="F32"/>
  <c r="H22"/>
  <c r="H46"/>
  <c r="H32"/>
  <c r="J46"/>
  <c r="J32"/>
  <c r="F49"/>
  <c r="F43"/>
  <c r="H49"/>
  <c r="H47"/>
  <c r="H43"/>
  <c r="H39"/>
  <c r="J49"/>
  <c r="J47"/>
  <c r="J43"/>
  <c r="J39"/>
  <c r="M47" l="1"/>
  <c r="M49"/>
  <c r="M46"/>
  <c r="M43"/>
  <c r="M32"/>
  <c r="M22"/>
  <c r="M39"/>
  <c r="H52" l="1"/>
  <c r="J30"/>
  <c r="F23"/>
  <c r="F20"/>
  <c r="H19"/>
  <c r="J18"/>
  <c r="J17"/>
  <c r="L16"/>
  <c r="O15"/>
  <c r="J16"/>
  <c r="E17"/>
  <c r="E35"/>
  <c r="F35" s="1"/>
  <c r="E21"/>
  <c r="G21"/>
  <c r="I21"/>
  <c r="K21"/>
  <c r="E30"/>
  <c r="H30"/>
  <c r="E31"/>
  <c r="E33"/>
  <c r="E36"/>
  <c r="E37"/>
  <c r="I45"/>
  <c r="K45"/>
  <c r="L45" s="1"/>
  <c r="J45" l="1"/>
  <c r="L30"/>
  <c r="L21"/>
  <c r="L18"/>
  <c r="F33"/>
  <c r="F36"/>
  <c r="H21"/>
  <c r="F37"/>
  <c r="H18"/>
  <c r="F31"/>
  <c r="F24"/>
  <c r="H24"/>
  <c r="L31"/>
  <c r="J31"/>
  <c r="H31"/>
  <c r="L34"/>
  <c r="J34"/>
  <c r="H34"/>
  <c r="L36"/>
  <c r="J36"/>
  <c r="H36"/>
  <c r="L38"/>
  <c r="J38"/>
  <c r="H38"/>
  <c r="L41"/>
  <c r="J41"/>
  <c r="H41"/>
  <c r="L44"/>
  <c r="J44"/>
  <c r="H44"/>
  <c r="F44"/>
  <c r="H48"/>
  <c r="F48"/>
  <c r="L51"/>
  <c r="J51"/>
  <c r="H51"/>
  <c r="H25"/>
  <c r="F25"/>
  <c r="J21"/>
  <c r="F21"/>
  <c r="L17"/>
  <c r="L33"/>
  <c r="J33"/>
  <c r="H33"/>
  <c r="L35"/>
  <c r="J35"/>
  <c r="H35"/>
  <c r="L37"/>
  <c r="J37"/>
  <c r="H37"/>
  <c r="L40"/>
  <c r="J40"/>
  <c r="H40"/>
  <c r="H42"/>
  <c r="F42"/>
  <c r="H45"/>
  <c r="F45"/>
  <c r="H50"/>
  <c r="F50"/>
  <c r="F26"/>
  <c r="H26"/>
  <c r="H17"/>
  <c r="K24"/>
  <c r="L24" s="1"/>
  <c r="F17"/>
  <c r="F30"/>
  <c r="M30" s="1"/>
  <c r="O17"/>
  <c r="E18" s="1"/>
  <c r="F18" s="1"/>
  <c r="O18"/>
  <c r="E19" s="1"/>
  <c r="M35" l="1"/>
  <c r="M17"/>
  <c r="K48"/>
  <c r="L48" s="1"/>
  <c r="K25"/>
  <c r="L25" s="1"/>
  <c r="E41"/>
  <c r="F41" s="1"/>
  <c r="M41" s="1"/>
  <c r="I25"/>
  <c r="J25" s="1"/>
  <c r="K50"/>
  <c r="L50" s="1"/>
  <c r="K42"/>
  <c r="L42" s="1"/>
  <c r="E38"/>
  <c r="F38" s="1"/>
  <c r="M38" s="1"/>
  <c r="E16"/>
  <c r="O19"/>
  <c r="G20" s="1"/>
  <c r="H20" s="1"/>
  <c r="I50"/>
  <c r="J50" s="1"/>
  <c r="I48"/>
  <c r="J48" s="1"/>
  <c r="M48" s="1"/>
  <c r="I42"/>
  <c r="J42" s="1"/>
  <c r="M42" s="1"/>
  <c r="E40"/>
  <c r="F40" s="1"/>
  <c r="M40" s="1"/>
  <c r="E34"/>
  <c r="F34" s="1"/>
  <c r="M34" s="1"/>
  <c r="O20"/>
  <c r="I20" s="1"/>
  <c r="J20" s="1"/>
  <c r="I23"/>
  <c r="J23" s="1"/>
  <c r="I26"/>
  <c r="J26" s="1"/>
  <c r="K23"/>
  <c r="L23" s="1"/>
  <c r="I24"/>
  <c r="K26"/>
  <c r="L26" s="1"/>
  <c r="O21"/>
  <c r="K20" s="1"/>
  <c r="L20" s="1"/>
  <c r="G23"/>
  <c r="H23" s="1"/>
  <c r="M23" s="1"/>
  <c r="M18"/>
  <c r="M37"/>
  <c r="M33"/>
  <c r="M45"/>
  <c r="M36"/>
  <c r="M31"/>
  <c r="M44"/>
  <c r="K19"/>
  <c r="L19" s="1"/>
  <c r="F19"/>
  <c r="J24"/>
  <c r="M24" s="1"/>
  <c r="I19"/>
  <c r="J19" s="1"/>
  <c r="M21"/>
  <c r="E52"/>
  <c r="F52" s="1"/>
  <c r="M25"/>
  <c r="F16"/>
  <c r="E51"/>
  <c r="G16"/>
  <c r="M20" l="1"/>
  <c r="M50"/>
  <c r="J27"/>
  <c r="L27"/>
  <c r="M26"/>
  <c r="K52"/>
  <c r="I52"/>
  <c r="J52" s="1"/>
  <c r="J53" s="1"/>
  <c r="J55" s="1"/>
  <c r="L52"/>
  <c r="L53" s="1"/>
  <c r="F51"/>
  <c r="M51" s="1"/>
  <c r="F27"/>
  <c r="M19"/>
  <c r="H16"/>
  <c r="H27" s="1"/>
  <c r="L55" l="1"/>
  <c r="M52"/>
  <c r="F53"/>
  <c r="H53"/>
  <c r="H55" s="1"/>
  <c r="M16"/>
  <c r="M27" s="1"/>
  <c r="F55" l="1"/>
  <c r="M53"/>
  <c r="M55" s="1"/>
  <c r="O23" s="1"/>
</calcChain>
</file>

<file path=xl/sharedStrings.xml><?xml version="1.0" encoding="utf-8"?>
<sst xmlns="http://schemas.openxmlformats.org/spreadsheetml/2006/main" count="203" uniqueCount="79">
  <si>
    <t>Especificações</t>
  </si>
  <si>
    <t>Unid</t>
  </si>
  <si>
    <t>Quant.</t>
  </si>
  <si>
    <t>( R$ )</t>
  </si>
  <si>
    <t xml:space="preserve">( R$ ) </t>
  </si>
  <si>
    <t>Soma</t>
  </si>
  <si>
    <t>MATERIAIS</t>
  </si>
  <si>
    <t>Mudas</t>
  </si>
  <si>
    <t>L</t>
  </si>
  <si>
    <t>Sulfato de zinco</t>
  </si>
  <si>
    <t>Bórax</t>
  </si>
  <si>
    <t>SERVIÇOS</t>
  </si>
  <si>
    <t>Distribuição de calcário</t>
  </si>
  <si>
    <t>Aração e gradagem</t>
  </si>
  <si>
    <t>Marcação da lavoura</t>
  </si>
  <si>
    <t>Sulcamento</t>
  </si>
  <si>
    <t>Cons. solo - marcação</t>
  </si>
  <si>
    <t>Construção carreadores</t>
  </si>
  <si>
    <t>Acerto e prep. Covas</t>
  </si>
  <si>
    <t>Plantio das mudas</t>
  </si>
  <si>
    <t>Adubações cobertura</t>
  </si>
  <si>
    <t>Replantio</t>
  </si>
  <si>
    <t>Tratamento fitosanitário</t>
  </si>
  <si>
    <t>Desbrotas</t>
  </si>
  <si>
    <t>t</t>
  </si>
  <si>
    <t>T  O  T  A  L</t>
  </si>
  <si>
    <t>Fósforo</t>
  </si>
  <si>
    <t>Potássio</t>
  </si>
  <si>
    <t>hectares</t>
  </si>
  <si>
    <t>metros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</si>
  <si>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</si>
  <si>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Unit.</t>
  </si>
  <si>
    <t>Calcário + transporte</t>
  </si>
  <si>
    <t>Nitrogenio</t>
  </si>
  <si>
    <t>Adubação no plantio</t>
  </si>
  <si>
    <t>Transporte das mudas</t>
  </si>
  <si>
    <t>R$/mil</t>
  </si>
  <si>
    <t>Transportes de insumos</t>
  </si>
  <si>
    <t>Sub total</t>
  </si>
  <si>
    <t>xxx</t>
  </si>
  <si>
    <t>Análise do solo</t>
  </si>
  <si>
    <t>Preparo do terreno</t>
  </si>
  <si>
    <t>e plantio das mudas</t>
  </si>
  <si>
    <t>1ª Fase pós plantio</t>
  </si>
  <si>
    <t>2ª Fase pós plantio</t>
  </si>
  <si>
    <t>3ª Fase pós plantio</t>
  </si>
  <si>
    <t>jan a jun</t>
  </si>
  <si>
    <t>jul a jun.</t>
  </si>
  <si>
    <t>jul. a jun.</t>
  </si>
  <si>
    <t>Sulcos de plantio (m.)</t>
  </si>
  <si>
    <t>Fósforo no pantio (kg)</t>
  </si>
  <si>
    <t>Potássio no plantio (kg)</t>
  </si>
  <si>
    <t>T</t>
  </si>
  <si>
    <t>Unid.</t>
  </si>
  <si>
    <t>Kg</t>
  </si>
  <si>
    <t>Inseticida (Ethion)</t>
  </si>
  <si>
    <t>Capina manual (2)</t>
  </si>
  <si>
    <t>Espaçamento entre linhas -</t>
  </si>
  <si>
    <t>Espaçamento entre plantas -</t>
  </si>
  <si>
    <t>Fungicida (Folicur)</t>
  </si>
  <si>
    <t>Nitrogênio 1ª fase (kg)</t>
  </si>
  <si>
    <t>Nitrogênio 2ª fase (kg)</t>
  </si>
  <si>
    <t>Nitrogênio 3ª fase (kg)</t>
  </si>
  <si>
    <t>Plantio em sulcos, adubação de cobertura feita manualmente,</t>
  </si>
  <si>
    <t>Área  -</t>
  </si>
  <si>
    <t>Densidade populacional</t>
  </si>
  <si>
    <t>Número de plantas</t>
  </si>
  <si>
    <t>pulverizações  manual, capina  manual</t>
  </si>
  <si>
    <t>Herbicida</t>
  </si>
  <si>
    <t xml:space="preserve">Formicida </t>
  </si>
  <si>
    <t>Adubação de cobertura</t>
  </si>
  <si>
    <t>Capina mecanizada (2)</t>
  </si>
  <si>
    <t>Capina quimica</t>
  </si>
  <si>
    <t>Custo</t>
  </si>
  <si>
    <t xml:space="preserve">Custo </t>
  </si>
  <si>
    <t>DH</t>
  </si>
  <si>
    <t>HT</t>
  </si>
  <si>
    <t>CUBR (R$/planta)</t>
  </si>
  <si>
    <t xml:space="preserve"> FORMAÇÃO DE CAFEEIRO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</si>
</sst>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m\-yy"/>
  </numFmts>
  <fonts count="12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4" fillId="0" borderId="0" xfId="0" applyFont="1" applyFill="1"/>
    <xf numFmtId="3" fontId="8" fillId="2" borderId="7" xfId="0" applyNumberFormat="1" applyFont="1" applyFill="1" applyBorder="1" applyAlignment="1" applyProtection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8" fillId="0" borderId="16" xfId="0" applyFont="1" applyBorder="1"/>
    <xf numFmtId="0" fontId="8" fillId="0" borderId="16" xfId="0" applyFont="1" applyFill="1" applyBorder="1"/>
    <xf numFmtId="0" fontId="5" fillId="2" borderId="0" xfId="0" applyFont="1" applyFill="1" applyAlignment="1">
      <alignment horizontal="center"/>
    </xf>
    <xf numFmtId="4" fontId="5" fillId="2" borderId="0" xfId="0" applyNumberFormat="1" applyFont="1" applyFill="1" applyBorder="1"/>
    <xf numFmtId="2" fontId="4" fillId="2" borderId="0" xfId="0" applyNumberFormat="1" applyFont="1" applyFill="1" applyBorder="1"/>
    <xf numFmtId="4" fontId="4" fillId="2" borderId="0" xfId="0" applyNumberFormat="1" applyFont="1" applyFill="1" applyBorder="1"/>
    <xf numFmtId="0" fontId="4" fillId="2" borderId="1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7" xfId="0" applyFont="1" applyFill="1" applyBorder="1" applyProtection="1"/>
    <xf numFmtId="4" fontId="4" fillId="2" borderId="7" xfId="0" applyNumberFormat="1" applyFont="1" applyFill="1" applyBorder="1" applyProtection="1"/>
    <xf numFmtId="0" fontId="4" fillId="2" borderId="7" xfId="0" applyFont="1" applyFill="1" applyBorder="1" applyAlignment="1" applyProtection="1">
      <alignment horizontal="left"/>
    </xf>
    <xf numFmtId="3" fontId="4" fillId="2" borderId="7" xfId="0" applyNumberFormat="1" applyFont="1" applyFill="1" applyBorder="1" applyAlignment="1" applyProtection="1">
      <alignment horizontal="center"/>
    </xf>
    <xf numFmtId="2" fontId="4" fillId="2" borderId="7" xfId="0" applyNumberFormat="1" applyFont="1" applyFill="1" applyBorder="1" applyAlignment="1" applyProtection="1">
      <alignment horizontal="center"/>
    </xf>
    <xf numFmtId="4" fontId="4" fillId="2" borderId="7" xfId="0" applyNumberFormat="1" applyFont="1" applyFill="1" applyBorder="1" applyAlignment="1" applyProtection="1">
      <alignment horizontal="center"/>
    </xf>
    <xf numFmtId="164" fontId="4" fillId="2" borderId="7" xfId="0" applyNumberFormat="1" applyFont="1" applyFill="1" applyBorder="1" applyAlignment="1" applyProtection="1">
      <alignment horizontal="center"/>
    </xf>
    <xf numFmtId="4" fontId="2" fillId="2" borderId="7" xfId="0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4" fontId="4" fillId="2" borderId="8" xfId="0" applyNumberFormat="1" applyFont="1" applyFill="1" applyBorder="1" applyAlignment="1" applyProtection="1">
      <alignment horizontal="center"/>
    </xf>
    <xf numFmtId="4" fontId="2" fillId="2" borderId="8" xfId="0" applyNumberFormat="1" applyFont="1" applyFill="1" applyBorder="1" applyProtection="1"/>
    <xf numFmtId="165" fontId="4" fillId="2" borderId="0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/>
    <xf numFmtId="0" fontId="4" fillId="0" borderId="0" xfId="0" applyFont="1" applyFill="1" applyBorder="1"/>
    <xf numFmtId="4" fontId="5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10" fillId="2" borderId="7" xfId="0" applyFont="1" applyFill="1" applyBorder="1" applyProtection="1"/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center"/>
    </xf>
    <xf numFmtId="0" fontId="11" fillId="2" borderId="7" xfId="0" applyFont="1" applyFill="1" applyBorder="1" applyProtection="1"/>
    <xf numFmtId="0" fontId="11" fillId="2" borderId="7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center"/>
    </xf>
    <xf numFmtId="4" fontId="0" fillId="0" borderId="0" xfId="0" applyNumberFormat="1" applyBorder="1"/>
    <xf numFmtId="0" fontId="4" fillId="2" borderId="0" xfId="0" applyFont="1" applyFill="1" applyBorder="1"/>
    <xf numFmtId="4" fontId="5" fillId="2" borderId="0" xfId="0" applyNumberFormat="1" applyFont="1" applyFill="1" applyBorder="1" applyAlignment="1">
      <alignment horizontal="center"/>
    </xf>
    <xf numFmtId="0" fontId="0" fillId="0" borderId="0" xfId="0" applyBorder="1"/>
    <xf numFmtId="4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7" xfId="0" applyFont="1" applyFill="1" applyBorder="1" applyAlignment="1" applyProtection="1">
      <alignment horizontal="center"/>
    </xf>
    <xf numFmtId="4" fontId="4" fillId="4" borderId="7" xfId="0" applyNumberFormat="1" applyFont="1" applyFill="1" applyBorder="1" applyProtection="1"/>
    <xf numFmtId="0" fontId="5" fillId="2" borderId="7" xfId="0" applyFont="1" applyFill="1" applyBorder="1" applyAlignment="1" applyProtection="1">
      <alignment horizontal="left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right"/>
    </xf>
    <xf numFmtId="0" fontId="2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D35"/>
  <sheetViews>
    <sheetView tabSelected="1" topLeftCell="A13" workbookViewId="0">
      <selection activeCell="F27" sqref="F27"/>
    </sheetView>
  </sheetViews>
  <sheetFormatPr defaultRowHeight="13.2"/>
  <cols>
    <col min="1" max="1" width="17.44140625" customWidth="1"/>
    <col min="2" max="2" width="31.5546875" bestFit="1" customWidth="1"/>
    <col min="3" max="3" width="12.109375" style="50" customWidth="1"/>
    <col min="4" max="4" width="13.109375" customWidth="1"/>
  </cols>
  <sheetData>
    <row r="2" spans="1:4" ht="15">
      <c r="A2" s="51"/>
      <c r="B2" s="54" t="s">
        <v>7</v>
      </c>
      <c r="C2" s="52" t="s">
        <v>53</v>
      </c>
      <c r="D2" s="32">
        <v>100</v>
      </c>
    </row>
    <row r="3" spans="1:4" ht="15">
      <c r="A3" s="51"/>
      <c r="B3" s="54" t="s">
        <v>32</v>
      </c>
      <c r="C3" s="52" t="s">
        <v>52</v>
      </c>
      <c r="D3" s="32">
        <v>101</v>
      </c>
    </row>
    <row r="4" spans="1:4" ht="15">
      <c r="A4" s="51"/>
      <c r="B4" s="30" t="s">
        <v>18</v>
      </c>
      <c r="C4" s="52" t="s">
        <v>75</v>
      </c>
      <c r="D4" s="32">
        <v>121</v>
      </c>
    </row>
    <row r="5" spans="1:4" ht="15">
      <c r="A5" s="51"/>
      <c r="B5" s="30" t="s">
        <v>70</v>
      </c>
      <c r="C5" s="52" t="s">
        <v>76</v>
      </c>
      <c r="D5" s="32">
        <v>124</v>
      </c>
    </row>
    <row r="6" spans="1:4" ht="15">
      <c r="A6" s="51"/>
      <c r="B6" s="30" t="s">
        <v>34</v>
      </c>
      <c r="C6" s="52" t="s">
        <v>75</v>
      </c>
      <c r="D6" s="32">
        <v>119</v>
      </c>
    </row>
    <row r="7" spans="1:4" ht="15">
      <c r="A7" s="51"/>
      <c r="B7" s="30" t="s">
        <v>34</v>
      </c>
      <c r="C7" s="52" t="s">
        <v>76</v>
      </c>
      <c r="D7" s="32">
        <v>121</v>
      </c>
    </row>
    <row r="8" spans="1:4" ht="15">
      <c r="A8" s="51"/>
      <c r="B8" s="30" t="s">
        <v>20</v>
      </c>
      <c r="C8" s="52" t="s">
        <v>75</v>
      </c>
      <c r="D8" s="32">
        <v>123</v>
      </c>
    </row>
    <row r="9" spans="1:4" ht="15">
      <c r="A9" s="51"/>
      <c r="B9" s="54" t="s">
        <v>40</v>
      </c>
      <c r="C9" s="52" t="s">
        <v>1</v>
      </c>
      <c r="D9" s="32">
        <v>111</v>
      </c>
    </row>
    <row r="10" spans="1:4" ht="15">
      <c r="A10" s="51"/>
      <c r="B10" s="30" t="s">
        <v>13</v>
      </c>
      <c r="C10" s="52" t="s">
        <v>76</v>
      </c>
      <c r="D10" s="32">
        <v>114</v>
      </c>
    </row>
    <row r="11" spans="1:4" ht="15">
      <c r="A11" s="51"/>
      <c r="B11" s="54" t="s">
        <v>10</v>
      </c>
      <c r="C11" s="52" t="s">
        <v>54</v>
      </c>
      <c r="D11" s="32">
        <v>110</v>
      </c>
    </row>
    <row r="12" spans="1:4" ht="15">
      <c r="A12" s="51"/>
      <c r="B12" s="30" t="s">
        <v>56</v>
      </c>
      <c r="C12" s="52" t="s">
        <v>75</v>
      </c>
      <c r="D12" s="32">
        <v>151</v>
      </c>
    </row>
    <row r="13" spans="1:4" ht="15">
      <c r="A13" s="51"/>
      <c r="B13" s="30" t="s">
        <v>71</v>
      </c>
      <c r="C13" s="52" t="s">
        <v>76</v>
      </c>
      <c r="D13" s="32">
        <v>152</v>
      </c>
    </row>
    <row r="14" spans="1:4" ht="15">
      <c r="A14" s="51"/>
      <c r="B14" s="30" t="s">
        <v>72</v>
      </c>
      <c r="C14" s="52" t="s">
        <v>76</v>
      </c>
      <c r="D14" s="32">
        <v>153</v>
      </c>
    </row>
    <row r="15" spans="1:4" ht="15">
      <c r="A15" s="51"/>
      <c r="B15" s="30" t="s">
        <v>16</v>
      </c>
      <c r="C15" s="52" t="s">
        <v>75</v>
      </c>
      <c r="D15" s="32">
        <v>117</v>
      </c>
    </row>
    <row r="16" spans="1:4" ht="15">
      <c r="A16" s="51"/>
      <c r="B16" s="30" t="s">
        <v>17</v>
      </c>
      <c r="C16" s="52" t="s">
        <v>76</v>
      </c>
      <c r="D16" s="32">
        <v>118</v>
      </c>
    </row>
    <row r="17" spans="1:4" ht="15">
      <c r="A17" s="51"/>
      <c r="B17" s="30" t="s">
        <v>23</v>
      </c>
      <c r="C17" s="52" t="s">
        <v>75</v>
      </c>
      <c r="D17" s="32">
        <v>127</v>
      </c>
    </row>
    <row r="18" spans="1:4" ht="15">
      <c r="A18" s="51"/>
      <c r="B18" s="30" t="s">
        <v>12</v>
      </c>
      <c r="C18" s="52" t="s">
        <v>75</v>
      </c>
      <c r="D18" s="32">
        <v>112</v>
      </c>
    </row>
    <row r="19" spans="1:4" ht="15">
      <c r="A19" s="51"/>
      <c r="B19" s="30" t="s">
        <v>12</v>
      </c>
      <c r="C19" s="52" t="s">
        <v>76</v>
      </c>
      <c r="D19" s="32">
        <v>113</v>
      </c>
    </row>
    <row r="20" spans="1:4" ht="15">
      <c r="A20" s="51"/>
      <c r="B20" s="54" t="s">
        <v>69</v>
      </c>
      <c r="C20" s="52" t="s">
        <v>54</v>
      </c>
      <c r="D20" s="32">
        <v>105</v>
      </c>
    </row>
    <row r="21" spans="1:4" ht="15">
      <c r="A21" s="51"/>
      <c r="B21" s="54" t="s">
        <v>26</v>
      </c>
      <c r="C21" s="52" t="s">
        <v>54</v>
      </c>
      <c r="D21" s="32">
        <v>102</v>
      </c>
    </row>
    <row r="22" spans="1:4" ht="15">
      <c r="A22" s="51"/>
      <c r="B22" s="54" t="s">
        <v>59</v>
      </c>
      <c r="C22" s="52" t="s">
        <v>54</v>
      </c>
      <c r="D22" s="32">
        <v>108</v>
      </c>
    </row>
    <row r="23" spans="1:4" ht="15">
      <c r="A23" s="51"/>
      <c r="B23" s="54" t="s">
        <v>68</v>
      </c>
      <c r="C23" s="52" t="s">
        <v>54</v>
      </c>
      <c r="D23" s="32">
        <v>106</v>
      </c>
    </row>
    <row r="24" spans="1:4" ht="15">
      <c r="A24" s="51"/>
      <c r="B24" s="54" t="s">
        <v>55</v>
      </c>
      <c r="C24" s="52" t="s">
        <v>8</v>
      </c>
      <c r="D24" s="32">
        <v>107</v>
      </c>
    </row>
    <row r="25" spans="1:4" ht="15">
      <c r="A25" s="51"/>
      <c r="B25" s="30" t="s">
        <v>14</v>
      </c>
      <c r="C25" s="52" t="s">
        <v>75</v>
      </c>
      <c r="D25" s="32">
        <v>115</v>
      </c>
    </row>
    <row r="26" spans="1:4" ht="15">
      <c r="A26" s="51"/>
      <c r="B26" s="54" t="s">
        <v>33</v>
      </c>
      <c r="C26" s="52" t="s">
        <v>54</v>
      </c>
      <c r="D26" s="32">
        <v>104</v>
      </c>
    </row>
    <row r="27" spans="1:4" ht="15">
      <c r="A27" s="51"/>
      <c r="B27" s="30" t="s">
        <v>19</v>
      </c>
      <c r="C27" s="52" t="s">
        <v>75</v>
      </c>
      <c r="D27" s="32">
        <v>122</v>
      </c>
    </row>
    <row r="28" spans="1:4" ht="15">
      <c r="A28" s="51"/>
      <c r="B28" s="54" t="s">
        <v>27</v>
      </c>
      <c r="C28" s="52" t="s">
        <v>54</v>
      </c>
      <c r="D28" s="32">
        <v>103</v>
      </c>
    </row>
    <row r="29" spans="1:4" ht="15">
      <c r="A29" s="51"/>
      <c r="B29" s="30" t="s">
        <v>21</v>
      </c>
      <c r="C29" s="52" t="s">
        <v>75</v>
      </c>
      <c r="D29" s="32">
        <v>125</v>
      </c>
    </row>
    <row r="30" spans="1:4" ht="15">
      <c r="A30" s="51"/>
      <c r="B30" s="30" t="s">
        <v>15</v>
      </c>
      <c r="C30" s="52" t="s">
        <v>76</v>
      </c>
      <c r="D30" s="32">
        <v>116</v>
      </c>
    </row>
    <row r="31" spans="1:4" ht="15">
      <c r="A31" s="51"/>
      <c r="B31" s="54" t="s">
        <v>9</v>
      </c>
      <c r="C31" s="52" t="s">
        <v>54</v>
      </c>
      <c r="D31" s="32">
        <v>109</v>
      </c>
    </row>
    <row r="32" spans="1:4" ht="15">
      <c r="A32" s="51"/>
      <c r="B32" s="30" t="s">
        <v>35</v>
      </c>
      <c r="C32" s="52" t="s">
        <v>36</v>
      </c>
      <c r="D32" s="32">
        <v>128</v>
      </c>
    </row>
    <row r="33" spans="1:4" ht="15">
      <c r="A33" s="51"/>
      <c r="B33" s="15" t="s">
        <v>37</v>
      </c>
      <c r="C33" s="52" t="s">
        <v>24</v>
      </c>
      <c r="D33" s="32">
        <v>129</v>
      </c>
    </row>
    <row r="34" spans="1:4" ht="15">
      <c r="A34" s="51"/>
      <c r="B34" s="37" t="s">
        <v>22</v>
      </c>
      <c r="C34" s="52" t="s">
        <v>75</v>
      </c>
      <c r="D34" s="32">
        <v>126</v>
      </c>
    </row>
    <row r="35" spans="1:4" ht="15">
      <c r="A35" s="51"/>
      <c r="B35" s="15" t="s">
        <v>22</v>
      </c>
      <c r="C35" s="52" t="s">
        <v>76</v>
      </c>
      <c r="D35" s="32">
        <v>154</v>
      </c>
    </row>
  </sheetData>
  <sortState ref="B4:D35">
    <sortCondition ref="B2"/>
  </sortState>
  <phoneticPr fontId="3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5"/>
  <sheetViews>
    <sheetView topLeftCell="A17" zoomScale="90" zoomScaleNormal="90" workbookViewId="0">
      <selection activeCell="B30" sqref="B30:C52"/>
    </sheetView>
  </sheetViews>
  <sheetFormatPr defaultRowHeight="13.2"/>
  <cols>
    <col min="1" max="1" width="3" customWidth="1"/>
    <col min="2" max="2" width="23.109375" customWidth="1"/>
    <col min="5" max="5" width="11.33203125" customWidth="1"/>
    <col min="6" max="6" width="11.109375" customWidth="1"/>
    <col min="7" max="7" width="11" customWidth="1"/>
    <col min="8" max="8" width="10.6640625" customWidth="1"/>
    <col min="9" max="9" width="10.88671875" customWidth="1"/>
    <col min="10" max="10" width="11.109375" customWidth="1"/>
    <col min="11" max="11" width="10.6640625" customWidth="1"/>
    <col min="12" max="12" width="11" customWidth="1"/>
    <col min="13" max="13" width="12.88671875" customWidth="1"/>
    <col min="14" max="14" width="26.109375" customWidth="1"/>
    <col min="15" max="15" width="11.66406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8" customHeight="1">
      <c r="A3" s="1"/>
      <c r="B3" s="62" t="s">
        <v>78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5" ht="17.100000000000001" customHeight="1">
      <c r="A4" s="1"/>
      <c r="B4" s="71" t="s">
        <v>63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3"/>
    </row>
    <row r="5" spans="1:15" ht="17.100000000000001" customHeight="1">
      <c r="A5" s="1"/>
      <c r="B5" s="74" t="s">
        <v>67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6"/>
      <c r="N5" s="1"/>
      <c r="O5" s="1"/>
    </row>
    <row r="6" spans="1:15" ht="15" customHeight="1">
      <c r="A6" s="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1"/>
      <c r="O6" s="1"/>
    </row>
    <row r="7" spans="1:15" ht="15">
      <c r="A7" s="1"/>
      <c r="B7" s="59" t="s">
        <v>64</v>
      </c>
      <c r="C7" s="59"/>
      <c r="D7" s="59"/>
      <c r="E7" s="59"/>
      <c r="F7" s="28">
        <v>1</v>
      </c>
      <c r="G7" s="30" t="s">
        <v>28</v>
      </c>
      <c r="H7" s="7"/>
      <c r="I7" s="8"/>
      <c r="J7" s="9"/>
      <c r="K7" s="9"/>
      <c r="L7" s="9"/>
      <c r="M7" s="9"/>
      <c r="N7" s="31"/>
      <c r="O7" s="1"/>
    </row>
    <row r="8" spans="1:15" ht="15">
      <c r="A8" s="1"/>
      <c r="B8" s="59" t="s">
        <v>57</v>
      </c>
      <c r="C8" s="59"/>
      <c r="D8" s="59"/>
      <c r="E8" s="59"/>
      <c r="F8" s="28">
        <v>2.5</v>
      </c>
      <c r="G8" s="30" t="s">
        <v>29</v>
      </c>
      <c r="H8" s="7"/>
      <c r="I8" s="8"/>
      <c r="J8" s="9"/>
      <c r="K8" s="9"/>
      <c r="L8" s="9"/>
      <c r="M8" s="9"/>
      <c r="N8" s="31"/>
      <c r="O8" s="1"/>
    </row>
    <row r="9" spans="1:15" ht="15">
      <c r="A9" s="1"/>
      <c r="B9" s="59" t="s">
        <v>58</v>
      </c>
      <c r="C9" s="59"/>
      <c r="D9" s="59"/>
      <c r="E9" s="59"/>
      <c r="F9" s="28">
        <v>0.8</v>
      </c>
      <c r="G9" s="30" t="s">
        <v>29</v>
      </c>
      <c r="H9" s="29"/>
      <c r="I9" s="11"/>
      <c r="J9" s="11"/>
      <c r="K9" s="11"/>
      <c r="L9" s="11"/>
      <c r="M9" s="11"/>
      <c r="N9" s="31"/>
      <c r="O9" s="1"/>
    </row>
    <row r="10" spans="1:15">
      <c r="A10" s="1"/>
      <c r="B10" s="10"/>
      <c r="C10" s="27"/>
      <c r="D10" s="11"/>
      <c r="E10" s="11"/>
      <c r="F10" s="11" t="s">
        <v>30</v>
      </c>
      <c r="G10" s="11"/>
      <c r="H10" s="11"/>
      <c r="I10" s="11"/>
      <c r="J10" s="11"/>
      <c r="K10" s="11"/>
      <c r="L10" s="11"/>
      <c r="M10" s="11"/>
      <c r="N10" s="31"/>
      <c r="O10" s="1"/>
    </row>
    <row r="11" spans="1:15">
      <c r="A11" s="1"/>
      <c r="B11" s="77" t="s">
        <v>0</v>
      </c>
      <c r="C11" s="67" t="s">
        <v>1</v>
      </c>
      <c r="D11" s="23" t="s">
        <v>74</v>
      </c>
      <c r="E11" s="69" t="s">
        <v>41</v>
      </c>
      <c r="F11" s="70"/>
      <c r="G11" s="60" t="s">
        <v>43</v>
      </c>
      <c r="H11" s="60"/>
      <c r="I11" s="60" t="s">
        <v>44</v>
      </c>
      <c r="J11" s="60"/>
      <c r="K11" s="60" t="s">
        <v>45</v>
      </c>
      <c r="L11" s="60"/>
      <c r="M11" s="61" t="s">
        <v>5</v>
      </c>
      <c r="N11" s="1"/>
      <c r="O11" s="1"/>
    </row>
    <row r="12" spans="1:15">
      <c r="A12" s="1"/>
      <c r="B12" s="78"/>
      <c r="C12" s="67"/>
      <c r="D12" s="39" t="s">
        <v>31</v>
      </c>
      <c r="E12" s="69" t="s">
        <v>42</v>
      </c>
      <c r="F12" s="70"/>
      <c r="G12" s="60" t="s">
        <v>46</v>
      </c>
      <c r="H12" s="60"/>
      <c r="I12" s="60" t="s">
        <v>47</v>
      </c>
      <c r="J12" s="60"/>
      <c r="K12" s="60" t="s">
        <v>48</v>
      </c>
      <c r="L12" s="60"/>
      <c r="M12" s="61"/>
      <c r="N12" s="1"/>
      <c r="O12" s="1"/>
    </row>
    <row r="13" spans="1:15">
      <c r="A13" s="1"/>
      <c r="B13" s="78"/>
      <c r="C13" s="67"/>
      <c r="D13" s="40"/>
      <c r="E13" s="42" t="s">
        <v>2</v>
      </c>
      <c r="F13" s="12" t="s">
        <v>73</v>
      </c>
      <c r="G13" s="61" t="s">
        <v>2</v>
      </c>
      <c r="H13" s="13" t="s">
        <v>73</v>
      </c>
      <c r="I13" s="61" t="s">
        <v>2</v>
      </c>
      <c r="J13" s="13" t="s">
        <v>73</v>
      </c>
      <c r="K13" s="61" t="s">
        <v>2</v>
      </c>
      <c r="L13" s="13" t="s">
        <v>74</v>
      </c>
      <c r="M13" s="61"/>
      <c r="N13" s="1"/>
      <c r="O13" s="1"/>
    </row>
    <row r="14" spans="1:15" ht="13.8">
      <c r="A14" s="1"/>
      <c r="B14" s="79"/>
      <c r="C14" s="61"/>
      <c r="D14" s="44" t="s">
        <v>3</v>
      </c>
      <c r="E14" s="12"/>
      <c r="F14" s="12" t="s">
        <v>3</v>
      </c>
      <c r="G14" s="61"/>
      <c r="H14" s="12" t="s">
        <v>4</v>
      </c>
      <c r="I14" s="61"/>
      <c r="J14" s="12" t="s">
        <v>3</v>
      </c>
      <c r="K14" s="61"/>
      <c r="L14" s="12" t="s">
        <v>3</v>
      </c>
      <c r="M14" s="61"/>
      <c r="N14" s="4" t="s">
        <v>65</v>
      </c>
      <c r="O14" s="2">
        <f>ROUND((10000/($F$8*$F$9)),0)</f>
        <v>5000</v>
      </c>
    </row>
    <row r="15" spans="1:15" ht="13.8">
      <c r="A15" s="1"/>
      <c r="B15" s="68" t="s">
        <v>6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4" t="s">
        <v>66</v>
      </c>
      <c r="O15" s="2">
        <f>ROUND($F$7*O14,0)</f>
        <v>5000</v>
      </c>
    </row>
    <row r="16" spans="1:15" ht="13.8">
      <c r="A16" s="1"/>
      <c r="B16" s="17" t="s">
        <v>7</v>
      </c>
      <c r="C16" s="14" t="s">
        <v>53</v>
      </c>
      <c r="D16" s="53">
        <v>0</v>
      </c>
      <c r="E16" s="18">
        <f>ROUND(O15,0)</f>
        <v>5000</v>
      </c>
      <c r="F16" s="16">
        <f t="shared" ref="F16:F17" si="0">E16*D16</f>
        <v>0</v>
      </c>
      <c r="G16" s="18">
        <f>ROUND(E16*0.1,0)</f>
        <v>500</v>
      </c>
      <c r="H16" s="16">
        <f xml:space="preserve"> G16*D16</f>
        <v>0</v>
      </c>
      <c r="I16" s="19">
        <v>0</v>
      </c>
      <c r="J16" s="16">
        <f>I16*D16</f>
        <v>0</v>
      </c>
      <c r="K16" s="20">
        <v>0</v>
      </c>
      <c r="L16" s="16">
        <f>K16*D16</f>
        <v>0</v>
      </c>
      <c r="M16" s="16">
        <f t="shared" ref="M16:M26" si="1">F16+H16+J16+L16</f>
        <v>0</v>
      </c>
      <c r="N16" s="5" t="s">
        <v>49</v>
      </c>
      <c r="O16" s="3">
        <f>(((100/$F$8)+1)*100)*$F$7</f>
        <v>4100</v>
      </c>
    </row>
    <row r="17" spans="1:16" ht="13.8">
      <c r="A17" s="1"/>
      <c r="B17" s="17" t="s">
        <v>32</v>
      </c>
      <c r="C17" s="14" t="s">
        <v>52</v>
      </c>
      <c r="D17" s="53">
        <v>0</v>
      </c>
      <c r="E17" s="21">
        <f>ROUND((3*F7)*1.1,1)</f>
        <v>3.3</v>
      </c>
      <c r="F17" s="16">
        <f t="shared" si="0"/>
        <v>0</v>
      </c>
      <c r="G17" s="21">
        <v>0</v>
      </c>
      <c r="H17" s="16">
        <f>G17*D17</f>
        <v>0</v>
      </c>
      <c r="I17" s="19">
        <v>0</v>
      </c>
      <c r="J17" s="16">
        <f>I17*D17</f>
        <v>0</v>
      </c>
      <c r="K17" s="20">
        <v>0</v>
      </c>
      <c r="L17" s="16">
        <f>K17*D17</f>
        <v>0</v>
      </c>
      <c r="M17" s="16">
        <f t="shared" si="1"/>
        <v>0</v>
      </c>
      <c r="N17" s="5" t="s">
        <v>50</v>
      </c>
      <c r="O17" s="3">
        <f>0.05*O16</f>
        <v>205</v>
      </c>
    </row>
    <row r="18" spans="1:16" ht="13.8">
      <c r="A18" s="1"/>
      <c r="B18" s="17" t="s">
        <v>26</v>
      </c>
      <c r="C18" s="14" t="s">
        <v>54</v>
      </c>
      <c r="D18" s="53">
        <v>0</v>
      </c>
      <c r="E18" s="21">
        <f>O17</f>
        <v>205</v>
      </c>
      <c r="F18" s="16">
        <f>E18*D18</f>
        <v>0</v>
      </c>
      <c r="G18" s="21">
        <v>0</v>
      </c>
      <c r="H18" s="16">
        <f xml:space="preserve"> G18*D18</f>
        <v>0</v>
      </c>
      <c r="I18" s="21">
        <v>0</v>
      </c>
      <c r="J18" s="16">
        <f t="shared" ref="J18:J26" si="2">I18*D18</f>
        <v>0</v>
      </c>
      <c r="K18" s="21">
        <v>0</v>
      </c>
      <c r="L18" s="16">
        <f t="shared" ref="L18:L26" si="3">K18*D18</f>
        <v>0</v>
      </c>
      <c r="M18" s="16">
        <f t="shared" si="1"/>
        <v>0</v>
      </c>
      <c r="N18" s="5" t="s">
        <v>51</v>
      </c>
      <c r="O18" s="3">
        <f>0.015*O16</f>
        <v>61.5</v>
      </c>
    </row>
    <row r="19" spans="1:16" ht="13.8">
      <c r="A19" s="1"/>
      <c r="B19" s="17" t="s">
        <v>27</v>
      </c>
      <c r="C19" s="14" t="s">
        <v>54</v>
      </c>
      <c r="D19" s="53">
        <v>0</v>
      </c>
      <c r="E19" s="21">
        <f>O18</f>
        <v>61.5</v>
      </c>
      <c r="F19" s="16">
        <f t="shared" ref="F19:F26" si="4">E19*D19</f>
        <v>0</v>
      </c>
      <c r="G19" s="21">
        <v>0</v>
      </c>
      <c r="H19" s="16">
        <f t="shared" ref="H19:H26" si="5" xml:space="preserve"> G19*D19</f>
        <v>0</v>
      </c>
      <c r="I19" s="21">
        <f>ROUND(E19/4,0)</f>
        <v>15</v>
      </c>
      <c r="J19" s="16">
        <f t="shared" si="2"/>
        <v>0</v>
      </c>
      <c r="K19" s="21">
        <f>ROUND(E19/4,0)</f>
        <v>15</v>
      </c>
      <c r="L19" s="16">
        <f t="shared" si="3"/>
        <v>0</v>
      </c>
      <c r="M19" s="16">
        <f t="shared" si="1"/>
        <v>0</v>
      </c>
      <c r="N19" s="5" t="s">
        <v>60</v>
      </c>
      <c r="O19" s="3">
        <f>(O15*0.002)*2</f>
        <v>20</v>
      </c>
    </row>
    <row r="20" spans="1:16" ht="13.8">
      <c r="A20" s="1"/>
      <c r="B20" s="17" t="s">
        <v>33</v>
      </c>
      <c r="C20" s="14" t="s">
        <v>54</v>
      </c>
      <c r="D20" s="53">
        <v>0</v>
      </c>
      <c r="E20" s="21">
        <v>0</v>
      </c>
      <c r="F20" s="16">
        <f t="shared" si="4"/>
        <v>0</v>
      </c>
      <c r="G20" s="21">
        <f>O19</f>
        <v>20</v>
      </c>
      <c r="H20" s="16">
        <f t="shared" si="5"/>
        <v>0</v>
      </c>
      <c r="I20" s="21">
        <f>O20</f>
        <v>100</v>
      </c>
      <c r="J20" s="16">
        <f t="shared" si="2"/>
        <v>0</v>
      </c>
      <c r="K20" s="21">
        <f>O21</f>
        <v>225</v>
      </c>
      <c r="L20" s="16">
        <f t="shared" si="3"/>
        <v>0</v>
      </c>
      <c r="M20" s="16">
        <f t="shared" si="1"/>
        <v>0</v>
      </c>
      <c r="N20" s="5" t="s">
        <v>61</v>
      </c>
      <c r="O20" s="3">
        <f>O15*0.02</f>
        <v>100</v>
      </c>
    </row>
    <row r="21" spans="1:16" ht="13.8">
      <c r="A21" s="1"/>
      <c r="B21" s="38" t="s">
        <v>69</v>
      </c>
      <c r="C21" s="14" t="s">
        <v>54</v>
      </c>
      <c r="D21" s="53">
        <v>0</v>
      </c>
      <c r="E21" s="21">
        <f>ROUND(5*F7,1)</f>
        <v>5</v>
      </c>
      <c r="F21" s="16">
        <f t="shared" si="4"/>
        <v>0</v>
      </c>
      <c r="G21" s="21">
        <f>ROUND(5*F7,1)</f>
        <v>5</v>
      </c>
      <c r="H21" s="16">
        <f t="shared" si="5"/>
        <v>0</v>
      </c>
      <c r="I21" s="21">
        <f>ROUND(5*F7,1)</f>
        <v>5</v>
      </c>
      <c r="J21" s="16">
        <f t="shared" si="2"/>
        <v>0</v>
      </c>
      <c r="K21" s="21">
        <f>ROUND(5*F7,1)</f>
        <v>5</v>
      </c>
      <c r="L21" s="16">
        <f t="shared" si="3"/>
        <v>0</v>
      </c>
      <c r="M21" s="16">
        <f t="shared" si="1"/>
        <v>0</v>
      </c>
      <c r="N21" s="5" t="s">
        <v>62</v>
      </c>
      <c r="O21" s="3">
        <f>O15*0.045</f>
        <v>225</v>
      </c>
    </row>
    <row r="22" spans="1:16" ht="13.8">
      <c r="A22" s="1"/>
      <c r="B22" s="43" t="s">
        <v>68</v>
      </c>
      <c r="C22" s="33" t="s">
        <v>54</v>
      </c>
      <c r="D22" s="53">
        <v>0</v>
      </c>
      <c r="E22" s="21">
        <f>3*F7</f>
        <v>3</v>
      </c>
      <c r="F22" s="16">
        <f t="shared" si="4"/>
        <v>0</v>
      </c>
      <c r="G22" s="21">
        <v>0</v>
      </c>
      <c r="H22" s="16">
        <f t="shared" si="5"/>
        <v>0</v>
      </c>
      <c r="I22" s="21">
        <f>3*F7</f>
        <v>3</v>
      </c>
      <c r="J22" s="16">
        <f t="shared" si="2"/>
        <v>0</v>
      </c>
      <c r="K22" s="21">
        <f>3*F7</f>
        <v>3</v>
      </c>
      <c r="L22" s="16">
        <f t="shared" si="3"/>
        <v>0</v>
      </c>
      <c r="M22" s="16">
        <f t="shared" si="1"/>
        <v>0</v>
      </c>
      <c r="N22" s="35"/>
      <c r="O22" s="36"/>
    </row>
    <row r="23" spans="1:16">
      <c r="A23" s="1"/>
      <c r="B23" s="17" t="s">
        <v>55</v>
      </c>
      <c r="C23" s="14" t="s">
        <v>8</v>
      </c>
      <c r="D23" s="53">
        <v>0</v>
      </c>
      <c r="E23" s="21">
        <v>0</v>
      </c>
      <c r="F23" s="16">
        <f t="shared" si="4"/>
        <v>0</v>
      </c>
      <c r="G23" s="21">
        <f>ROUND(0.00008*O15,0)</f>
        <v>0</v>
      </c>
      <c r="H23" s="16">
        <f t="shared" si="5"/>
        <v>0</v>
      </c>
      <c r="I23" s="21">
        <f>ROUND(0.00024*O15,0)</f>
        <v>1</v>
      </c>
      <c r="J23" s="16">
        <f t="shared" si="2"/>
        <v>0</v>
      </c>
      <c r="K23" s="21">
        <f>ROUND(0.000484*O15,0)</f>
        <v>2</v>
      </c>
      <c r="L23" s="16">
        <f t="shared" si="3"/>
        <v>0</v>
      </c>
      <c r="M23" s="16">
        <f t="shared" si="1"/>
        <v>0</v>
      </c>
      <c r="N23" s="55" t="s">
        <v>77</v>
      </c>
      <c r="O23" s="57">
        <f>M55/O15</f>
        <v>0</v>
      </c>
    </row>
    <row r="24" spans="1:16">
      <c r="A24" s="1"/>
      <c r="B24" s="17" t="s">
        <v>59</v>
      </c>
      <c r="C24" s="14" t="s">
        <v>54</v>
      </c>
      <c r="D24" s="53">
        <v>0</v>
      </c>
      <c r="E24" s="21">
        <v>0</v>
      </c>
      <c r="F24" s="16">
        <f t="shared" si="4"/>
        <v>0</v>
      </c>
      <c r="G24" s="21">
        <v>0</v>
      </c>
      <c r="H24" s="16">
        <f t="shared" si="5"/>
        <v>0</v>
      </c>
      <c r="I24" s="21">
        <f>ROUND(0.00064*O15,0)</f>
        <v>3</v>
      </c>
      <c r="J24" s="16">
        <f t="shared" si="2"/>
        <v>0</v>
      </c>
      <c r="K24" s="21">
        <f>ROUND(0.00128*O15,0)</f>
        <v>6</v>
      </c>
      <c r="L24" s="16">
        <f t="shared" si="3"/>
        <v>0</v>
      </c>
      <c r="M24" s="16">
        <f t="shared" si="1"/>
        <v>0</v>
      </c>
      <c r="N24" s="56"/>
      <c r="O24" s="58"/>
    </row>
    <row r="25" spans="1:16">
      <c r="A25" s="1"/>
      <c r="B25" s="17" t="s">
        <v>9</v>
      </c>
      <c r="C25" s="14" t="s">
        <v>54</v>
      </c>
      <c r="D25" s="53">
        <v>0</v>
      </c>
      <c r="E25" s="21">
        <v>0</v>
      </c>
      <c r="F25" s="16">
        <f t="shared" si="4"/>
        <v>0</v>
      </c>
      <c r="G25" s="21">
        <v>0</v>
      </c>
      <c r="H25" s="16">
        <f t="shared" si="5"/>
        <v>0</v>
      </c>
      <c r="I25" s="21">
        <f>ROUND(0.00016*O15,1)</f>
        <v>0.8</v>
      </c>
      <c r="J25" s="16">
        <f t="shared" si="2"/>
        <v>0</v>
      </c>
      <c r="K25" s="21">
        <f>ROUND(0.0004*O15,1)</f>
        <v>2</v>
      </c>
      <c r="L25" s="16">
        <f t="shared" si="3"/>
        <v>0</v>
      </c>
      <c r="M25" s="16">
        <f t="shared" si="1"/>
        <v>0</v>
      </c>
      <c r="N25" s="1"/>
      <c r="O25" s="1"/>
    </row>
    <row r="26" spans="1:16">
      <c r="A26" s="1"/>
      <c r="B26" s="17" t="s">
        <v>10</v>
      </c>
      <c r="C26" s="14" t="s">
        <v>54</v>
      </c>
      <c r="D26" s="53">
        <v>0</v>
      </c>
      <c r="E26" s="21">
        <v>0</v>
      </c>
      <c r="F26" s="16">
        <f t="shared" si="4"/>
        <v>0</v>
      </c>
      <c r="G26" s="21">
        <v>0</v>
      </c>
      <c r="H26" s="16">
        <f t="shared" si="5"/>
        <v>0</v>
      </c>
      <c r="I26" s="21">
        <f>ROUND(0.004*O15,1)</f>
        <v>20</v>
      </c>
      <c r="J26" s="16">
        <f t="shared" si="2"/>
        <v>0</v>
      </c>
      <c r="K26" s="21">
        <f>ROUND(0.008*O15,1)</f>
        <v>40</v>
      </c>
      <c r="L26" s="16">
        <f t="shared" si="3"/>
        <v>0</v>
      </c>
      <c r="M26" s="16">
        <f t="shared" si="1"/>
        <v>0</v>
      </c>
      <c r="N26" s="1"/>
      <c r="O26" s="1"/>
    </row>
    <row r="27" spans="1:16">
      <c r="A27" s="1"/>
      <c r="B27" s="12" t="s">
        <v>38</v>
      </c>
      <c r="C27" s="14" t="s">
        <v>39</v>
      </c>
      <c r="D27" s="20" t="s">
        <v>39</v>
      </c>
      <c r="E27" s="14" t="s">
        <v>39</v>
      </c>
      <c r="F27" s="22">
        <f>SUM(F16:F26)</f>
        <v>0</v>
      </c>
      <c r="G27" s="14" t="s">
        <v>39</v>
      </c>
      <c r="H27" s="22">
        <f>SUM(H16:H26)</f>
        <v>0</v>
      </c>
      <c r="I27" s="19" t="s">
        <v>39</v>
      </c>
      <c r="J27" s="22">
        <f>SUM(J16:J26)</f>
        <v>0</v>
      </c>
      <c r="K27" s="20" t="s">
        <v>39</v>
      </c>
      <c r="L27" s="22">
        <f>SUM(L16:L26)</f>
        <v>0</v>
      </c>
      <c r="M27" s="22">
        <f>SUM(M16:M26)</f>
        <v>0</v>
      </c>
      <c r="N27" s="1"/>
      <c r="O27" s="1"/>
    </row>
    <row r="28" spans="1:16">
      <c r="A28" s="1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1"/>
      <c r="O28" s="1"/>
    </row>
    <row r="29" spans="1:16">
      <c r="A29" s="1"/>
      <c r="B29" s="68" t="s">
        <v>11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  <c r="N29" s="1"/>
      <c r="O29" s="1"/>
    </row>
    <row r="30" spans="1:16" ht="15">
      <c r="A30" s="1"/>
      <c r="B30" s="17" t="s">
        <v>40</v>
      </c>
      <c r="C30" s="14" t="s">
        <v>1</v>
      </c>
      <c r="D30" s="53">
        <v>0</v>
      </c>
      <c r="E30" s="21">
        <f>ROUNDUP(F7/10,0)</f>
        <v>1</v>
      </c>
      <c r="F30" s="16">
        <f>E30*D30</f>
        <v>0</v>
      </c>
      <c r="G30" s="21">
        <v>0</v>
      </c>
      <c r="H30" s="16">
        <f>G30*D30</f>
        <v>0</v>
      </c>
      <c r="I30" s="21">
        <v>0</v>
      </c>
      <c r="J30" s="16">
        <f>I30*D30</f>
        <v>0</v>
      </c>
      <c r="K30" s="21">
        <v>0</v>
      </c>
      <c r="L30" s="16">
        <f>K30*D30</f>
        <v>0</v>
      </c>
      <c r="M30" s="16">
        <f>F30+H30+J30+L30</f>
        <v>0</v>
      </c>
      <c r="N30" s="46"/>
      <c r="O30" s="45"/>
      <c r="P30" s="47"/>
    </row>
    <row r="31" spans="1:16">
      <c r="A31" s="1"/>
      <c r="B31" s="37" t="s">
        <v>12</v>
      </c>
      <c r="C31" s="14" t="s">
        <v>75</v>
      </c>
      <c r="D31" s="53">
        <v>0</v>
      </c>
      <c r="E31" s="21">
        <f>ROUND(2*F7,1)</f>
        <v>2</v>
      </c>
      <c r="F31" s="16">
        <f t="shared" ref="F31:F52" si="6">E31*D31</f>
        <v>0</v>
      </c>
      <c r="G31" s="21">
        <v>0</v>
      </c>
      <c r="H31" s="16">
        <f t="shared" ref="H31:H52" si="7">G31*D31</f>
        <v>0</v>
      </c>
      <c r="I31" s="21">
        <v>0</v>
      </c>
      <c r="J31" s="16">
        <f t="shared" ref="J31:J52" si="8">I31*D31</f>
        <v>0</v>
      </c>
      <c r="K31" s="21">
        <v>2</v>
      </c>
      <c r="L31" s="16">
        <f t="shared" ref="L31:L52" si="9">K31*D31</f>
        <v>0</v>
      </c>
      <c r="M31" s="16">
        <f t="shared" ref="M31:M53" si="10">F31+H31+J31+L31</f>
        <v>0</v>
      </c>
      <c r="N31" s="46"/>
      <c r="O31" s="45"/>
      <c r="P31" s="48"/>
    </row>
    <row r="32" spans="1:16">
      <c r="A32" s="1"/>
      <c r="B32" s="34" t="s">
        <v>12</v>
      </c>
      <c r="C32" s="33" t="s">
        <v>76</v>
      </c>
      <c r="D32" s="53">
        <v>0</v>
      </c>
      <c r="E32" s="21">
        <v>1</v>
      </c>
      <c r="F32" s="16">
        <f t="shared" si="6"/>
        <v>0</v>
      </c>
      <c r="G32" s="21">
        <v>0</v>
      </c>
      <c r="H32" s="16">
        <f t="shared" si="7"/>
        <v>0</v>
      </c>
      <c r="I32" s="21">
        <v>0</v>
      </c>
      <c r="J32" s="16">
        <f t="shared" si="8"/>
        <v>0</v>
      </c>
      <c r="K32" s="21">
        <v>2</v>
      </c>
      <c r="L32" s="16">
        <f t="shared" si="9"/>
        <v>0</v>
      </c>
      <c r="M32" s="16">
        <f t="shared" si="10"/>
        <v>0</v>
      </c>
      <c r="N32" s="46"/>
      <c r="O32" s="45"/>
      <c r="P32" s="48"/>
    </row>
    <row r="33" spans="1:16" ht="15.6">
      <c r="A33" s="1"/>
      <c r="B33" s="37" t="s">
        <v>13</v>
      </c>
      <c r="C33" s="41" t="s">
        <v>76</v>
      </c>
      <c r="D33" s="53">
        <v>0</v>
      </c>
      <c r="E33" s="21">
        <f>ROUND(6*F7,1)</f>
        <v>6</v>
      </c>
      <c r="F33" s="16">
        <f t="shared" si="6"/>
        <v>0</v>
      </c>
      <c r="G33" s="21">
        <v>0</v>
      </c>
      <c r="H33" s="16">
        <f t="shared" si="7"/>
        <v>0</v>
      </c>
      <c r="I33" s="21">
        <v>0</v>
      </c>
      <c r="J33" s="16">
        <f t="shared" si="8"/>
        <v>0</v>
      </c>
      <c r="K33" s="21">
        <v>0</v>
      </c>
      <c r="L33" s="16">
        <f t="shared" si="9"/>
        <v>0</v>
      </c>
      <c r="M33" s="16">
        <f t="shared" si="10"/>
        <v>0</v>
      </c>
      <c r="N33" s="46"/>
      <c r="O33" s="45"/>
      <c r="P33" s="49"/>
    </row>
    <row r="34" spans="1:16" ht="15.6">
      <c r="A34" s="1"/>
      <c r="B34" s="15" t="s">
        <v>14</v>
      </c>
      <c r="C34" s="41" t="s">
        <v>75</v>
      </c>
      <c r="D34" s="53">
        <v>0</v>
      </c>
      <c r="E34" s="21">
        <f>ROUND(2+(O15*0.0001),1)</f>
        <v>2.5</v>
      </c>
      <c r="F34" s="16">
        <f t="shared" si="6"/>
        <v>0</v>
      </c>
      <c r="G34" s="21">
        <v>0</v>
      </c>
      <c r="H34" s="16">
        <f t="shared" si="7"/>
        <v>0</v>
      </c>
      <c r="I34" s="21">
        <v>0</v>
      </c>
      <c r="J34" s="16">
        <f t="shared" si="8"/>
        <v>0</v>
      </c>
      <c r="K34" s="21">
        <v>0</v>
      </c>
      <c r="L34" s="16">
        <f t="shared" si="9"/>
        <v>0</v>
      </c>
      <c r="M34" s="16">
        <f t="shared" si="10"/>
        <v>0</v>
      </c>
      <c r="N34" s="46"/>
      <c r="O34" s="45"/>
      <c r="P34" s="49"/>
    </row>
    <row r="35" spans="1:16">
      <c r="A35" s="1"/>
      <c r="B35" s="37" t="s">
        <v>15</v>
      </c>
      <c r="C35" s="41" t="s">
        <v>76</v>
      </c>
      <c r="D35" s="53">
        <v>0</v>
      </c>
      <c r="E35" s="21">
        <f>ROUND(0.0003426*O16,1)</f>
        <v>1.4</v>
      </c>
      <c r="F35" s="16">
        <f t="shared" si="6"/>
        <v>0</v>
      </c>
      <c r="G35" s="21">
        <v>0</v>
      </c>
      <c r="H35" s="16">
        <f t="shared" si="7"/>
        <v>0</v>
      </c>
      <c r="I35" s="21">
        <v>0</v>
      </c>
      <c r="J35" s="16">
        <f t="shared" si="8"/>
        <v>0</v>
      </c>
      <c r="K35" s="21">
        <v>0</v>
      </c>
      <c r="L35" s="16">
        <f t="shared" si="9"/>
        <v>0</v>
      </c>
      <c r="M35" s="16">
        <f t="shared" si="10"/>
        <v>0</v>
      </c>
      <c r="N35" s="1"/>
      <c r="O35" s="1"/>
    </row>
    <row r="36" spans="1:16">
      <c r="A36" s="1"/>
      <c r="B36" s="15" t="s">
        <v>16</v>
      </c>
      <c r="C36" s="41" t="s">
        <v>75</v>
      </c>
      <c r="D36" s="53">
        <v>0</v>
      </c>
      <c r="E36" s="21">
        <f>ROUND(2*F7,1)</f>
        <v>2</v>
      </c>
      <c r="F36" s="16">
        <f t="shared" si="6"/>
        <v>0</v>
      </c>
      <c r="G36" s="21">
        <v>0</v>
      </c>
      <c r="H36" s="16">
        <f t="shared" si="7"/>
        <v>0</v>
      </c>
      <c r="I36" s="21">
        <v>0</v>
      </c>
      <c r="J36" s="16">
        <f t="shared" si="8"/>
        <v>0</v>
      </c>
      <c r="K36" s="21">
        <v>0</v>
      </c>
      <c r="L36" s="16">
        <f t="shared" si="9"/>
        <v>0</v>
      </c>
      <c r="M36" s="16">
        <f t="shared" si="10"/>
        <v>0</v>
      </c>
      <c r="N36" s="1"/>
      <c r="O36" s="1"/>
    </row>
    <row r="37" spans="1:16">
      <c r="A37" s="1"/>
      <c r="B37" s="37" t="s">
        <v>17</v>
      </c>
      <c r="C37" s="41" t="s">
        <v>76</v>
      </c>
      <c r="D37" s="53">
        <v>0</v>
      </c>
      <c r="E37" s="21">
        <f>ROUND(2*F7,1)</f>
        <v>2</v>
      </c>
      <c r="F37" s="16">
        <f t="shared" si="6"/>
        <v>0</v>
      </c>
      <c r="G37" s="21">
        <v>0</v>
      </c>
      <c r="H37" s="16">
        <f t="shared" si="7"/>
        <v>0</v>
      </c>
      <c r="I37" s="21">
        <v>0</v>
      </c>
      <c r="J37" s="16">
        <f t="shared" si="8"/>
        <v>0</v>
      </c>
      <c r="K37" s="21">
        <v>0</v>
      </c>
      <c r="L37" s="16">
        <f t="shared" si="9"/>
        <v>0</v>
      </c>
      <c r="M37" s="16">
        <f t="shared" si="10"/>
        <v>0</v>
      </c>
      <c r="N37" s="1"/>
      <c r="O37" s="1"/>
    </row>
    <row r="38" spans="1:16">
      <c r="A38" s="1"/>
      <c r="B38" s="37" t="s">
        <v>34</v>
      </c>
      <c r="C38" s="41" t="s">
        <v>75</v>
      </c>
      <c r="D38" s="53">
        <v>0</v>
      </c>
      <c r="E38" s="21">
        <f>ROUND(2+(O15*0.0001),1)</f>
        <v>2.5</v>
      </c>
      <c r="F38" s="16">
        <f t="shared" si="6"/>
        <v>0</v>
      </c>
      <c r="G38" s="21">
        <v>0</v>
      </c>
      <c r="H38" s="16">
        <f t="shared" si="7"/>
        <v>0</v>
      </c>
      <c r="I38" s="21">
        <v>0</v>
      </c>
      <c r="J38" s="16">
        <f t="shared" si="8"/>
        <v>0</v>
      </c>
      <c r="K38" s="21">
        <v>0</v>
      </c>
      <c r="L38" s="16">
        <f t="shared" si="9"/>
        <v>0</v>
      </c>
      <c r="M38" s="16">
        <f t="shared" si="10"/>
        <v>0</v>
      </c>
      <c r="N38" s="1"/>
      <c r="O38" s="1"/>
    </row>
    <row r="39" spans="1:16">
      <c r="A39" s="1"/>
      <c r="B39" s="34" t="s">
        <v>34</v>
      </c>
      <c r="C39" s="41" t="s">
        <v>76</v>
      </c>
      <c r="D39" s="53">
        <v>0</v>
      </c>
      <c r="E39" s="21">
        <v>2</v>
      </c>
      <c r="F39" s="16">
        <f t="shared" si="6"/>
        <v>0</v>
      </c>
      <c r="G39" s="21">
        <v>0</v>
      </c>
      <c r="H39" s="16">
        <f t="shared" si="7"/>
        <v>0</v>
      </c>
      <c r="I39" s="21">
        <v>0</v>
      </c>
      <c r="J39" s="16">
        <f t="shared" si="8"/>
        <v>0</v>
      </c>
      <c r="K39" s="21">
        <v>0</v>
      </c>
      <c r="L39" s="16">
        <f t="shared" si="9"/>
        <v>0</v>
      </c>
      <c r="M39" s="16">
        <f t="shared" si="10"/>
        <v>0</v>
      </c>
      <c r="N39" s="1"/>
      <c r="O39" s="1"/>
    </row>
    <row r="40" spans="1:16">
      <c r="A40" s="1"/>
      <c r="B40" s="15" t="s">
        <v>18</v>
      </c>
      <c r="C40" s="41" t="s">
        <v>75</v>
      </c>
      <c r="D40" s="53">
        <v>0</v>
      </c>
      <c r="E40" s="21">
        <f>ROUND((O15*0.003),1)</f>
        <v>15</v>
      </c>
      <c r="F40" s="16">
        <f t="shared" si="6"/>
        <v>0</v>
      </c>
      <c r="G40" s="21">
        <v>0</v>
      </c>
      <c r="H40" s="16">
        <f t="shared" si="7"/>
        <v>0</v>
      </c>
      <c r="I40" s="21">
        <v>0</v>
      </c>
      <c r="J40" s="16">
        <f t="shared" si="8"/>
        <v>0</v>
      </c>
      <c r="K40" s="21">
        <v>0</v>
      </c>
      <c r="L40" s="16">
        <f t="shared" si="9"/>
        <v>0</v>
      </c>
      <c r="M40" s="16">
        <f t="shared" si="10"/>
        <v>0</v>
      </c>
      <c r="N40" s="1"/>
      <c r="O40" s="1"/>
    </row>
    <row r="41" spans="1:16">
      <c r="A41" s="1"/>
      <c r="B41" s="15" t="s">
        <v>19</v>
      </c>
      <c r="C41" s="41" t="s">
        <v>75</v>
      </c>
      <c r="D41" s="53">
        <v>0</v>
      </c>
      <c r="E41" s="21">
        <f>ROUND(O15*0.002,1)</f>
        <v>10</v>
      </c>
      <c r="F41" s="16">
        <f t="shared" si="6"/>
        <v>0</v>
      </c>
      <c r="G41" s="21">
        <v>0</v>
      </c>
      <c r="H41" s="16">
        <f t="shared" si="7"/>
        <v>0</v>
      </c>
      <c r="I41" s="21">
        <v>0</v>
      </c>
      <c r="J41" s="16">
        <f t="shared" si="8"/>
        <v>0</v>
      </c>
      <c r="K41" s="21">
        <v>0</v>
      </c>
      <c r="L41" s="16">
        <f t="shared" si="9"/>
        <v>0</v>
      </c>
      <c r="M41" s="16">
        <f t="shared" si="10"/>
        <v>0</v>
      </c>
      <c r="N41" s="1"/>
      <c r="O41" s="1"/>
    </row>
    <row r="42" spans="1:16">
      <c r="A42" s="1"/>
      <c r="B42" s="37" t="s">
        <v>20</v>
      </c>
      <c r="C42" s="41" t="s">
        <v>75</v>
      </c>
      <c r="D42" s="53">
        <v>0</v>
      </c>
      <c r="E42" s="21">
        <v>0</v>
      </c>
      <c r="F42" s="16">
        <f t="shared" si="6"/>
        <v>0</v>
      </c>
      <c r="G42" s="21">
        <v>0</v>
      </c>
      <c r="H42" s="16">
        <f t="shared" si="7"/>
        <v>0</v>
      </c>
      <c r="I42" s="21">
        <f>ROUND(4*(0.0002*O15),1)</f>
        <v>4</v>
      </c>
      <c r="J42" s="16">
        <f t="shared" si="8"/>
        <v>0</v>
      </c>
      <c r="K42" s="21">
        <f>ROUND(4*(0.0002*O15),1)</f>
        <v>4</v>
      </c>
      <c r="L42" s="16">
        <f t="shared" si="9"/>
        <v>0</v>
      </c>
      <c r="M42" s="16">
        <f t="shared" si="10"/>
        <v>0</v>
      </c>
      <c r="N42" s="1"/>
      <c r="O42" s="1"/>
    </row>
    <row r="43" spans="1:16">
      <c r="A43" s="1"/>
      <c r="B43" s="34" t="s">
        <v>70</v>
      </c>
      <c r="C43" s="41" t="s">
        <v>76</v>
      </c>
      <c r="D43" s="53">
        <v>0</v>
      </c>
      <c r="E43" s="21">
        <v>4</v>
      </c>
      <c r="F43" s="16">
        <f t="shared" si="6"/>
        <v>0</v>
      </c>
      <c r="G43" s="21">
        <v>0</v>
      </c>
      <c r="H43" s="16">
        <f t="shared" si="7"/>
        <v>0</v>
      </c>
      <c r="I43" s="21">
        <v>0</v>
      </c>
      <c r="J43" s="16">
        <f t="shared" si="8"/>
        <v>0</v>
      </c>
      <c r="K43" s="21">
        <v>4</v>
      </c>
      <c r="L43" s="16">
        <f t="shared" si="9"/>
        <v>0</v>
      </c>
      <c r="M43" s="16">
        <f t="shared" si="10"/>
        <v>0</v>
      </c>
      <c r="N43" s="1"/>
      <c r="O43" s="1"/>
    </row>
    <row r="44" spans="1:16">
      <c r="A44" s="1"/>
      <c r="B44" s="15" t="s">
        <v>21</v>
      </c>
      <c r="C44" s="41" t="s">
        <v>75</v>
      </c>
      <c r="D44" s="53">
        <v>0</v>
      </c>
      <c r="E44" s="21">
        <v>0</v>
      </c>
      <c r="F44" s="16">
        <f t="shared" si="6"/>
        <v>0</v>
      </c>
      <c r="G44" s="21">
        <v>0</v>
      </c>
      <c r="H44" s="16">
        <f t="shared" si="7"/>
        <v>0</v>
      </c>
      <c r="I44" s="21">
        <v>0</v>
      </c>
      <c r="J44" s="16">
        <f t="shared" si="8"/>
        <v>0</v>
      </c>
      <c r="K44" s="21">
        <v>0</v>
      </c>
      <c r="L44" s="16">
        <f t="shared" si="9"/>
        <v>0</v>
      </c>
      <c r="M44" s="16">
        <f t="shared" si="10"/>
        <v>0</v>
      </c>
      <c r="N44" s="1"/>
      <c r="O44" s="1"/>
    </row>
    <row r="45" spans="1:16">
      <c r="A45" s="1"/>
      <c r="B45" s="37" t="s">
        <v>56</v>
      </c>
      <c r="C45" s="41" t="s">
        <v>75</v>
      </c>
      <c r="D45" s="53">
        <v>0</v>
      </c>
      <c r="E45" s="21">
        <v>0</v>
      </c>
      <c r="F45" s="16">
        <f t="shared" si="6"/>
        <v>0</v>
      </c>
      <c r="G45" s="21">
        <v>0</v>
      </c>
      <c r="H45" s="16">
        <f t="shared" si="7"/>
        <v>0</v>
      </c>
      <c r="I45" s="21">
        <f>ROUND(13*F7,1)</f>
        <v>13</v>
      </c>
      <c r="J45" s="16">
        <f t="shared" si="8"/>
        <v>0</v>
      </c>
      <c r="K45" s="21">
        <f>ROUND(11*F7,1)</f>
        <v>11</v>
      </c>
      <c r="L45" s="16">
        <f t="shared" si="9"/>
        <v>0</v>
      </c>
      <c r="M45" s="16">
        <f t="shared" si="10"/>
        <v>0</v>
      </c>
      <c r="N45" s="1"/>
      <c r="O45" s="1"/>
    </row>
    <row r="46" spans="1:16">
      <c r="A46" s="1"/>
      <c r="B46" s="34" t="s">
        <v>71</v>
      </c>
      <c r="C46" s="41" t="s">
        <v>76</v>
      </c>
      <c r="D46" s="53">
        <v>0</v>
      </c>
      <c r="E46" s="21">
        <v>2</v>
      </c>
      <c r="F46" s="16">
        <f t="shared" si="6"/>
        <v>0</v>
      </c>
      <c r="G46" s="21">
        <v>0</v>
      </c>
      <c r="H46" s="16">
        <f t="shared" si="7"/>
        <v>0</v>
      </c>
      <c r="I46" s="21">
        <v>0</v>
      </c>
      <c r="J46" s="16">
        <f t="shared" si="8"/>
        <v>0</v>
      </c>
      <c r="K46" s="21">
        <v>2</v>
      </c>
      <c r="L46" s="16">
        <f t="shared" si="9"/>
        <v>0</v>
      </c>
      <c r="M46" s="16">
        <f t="shared" si="10"/>
        <v>0</v>
      </c>
      <c r="N46" s="1"/>
      <c r="O46" s="1"/>
    </row>
    <row r="47" spans="1:16">
      <c r="A47" s="1"/>
      <c r="B47" s="34" t="s">
        <v>72</v>
      </c>
      <c r="C47" s="41" t="s">
        <v>76</v>
      </c>
      <c r="D47" s="53">
        <v>0</v>
      </c>
      <c r="E47" s="21">
        <v>1</v>
      </c>
      <c r="F47" s="16">
        <f t="shared" si="6"/>
        <v>0</v>
      </c>
      <c r="G47" s="21">
        <v>0</v>
      </c>
      <c r="H47" s="16">
        <f t="shared" si="7"/>
        <v>0</v>
      </c>
      <c r="I47" s="21">
        <v>0</v>
      </c>
      <c r="J47" s="16">
        <f t="shared" si="8"/>
        <v>0</v>
      </c>
      <c r="K47" s="21">
        <v>1</v>
      </c>
      <c r="L47" s="16">
        <f t="shared" si="9"/>
        <v>0</v>
      </c>
      <c r="M47" s="16">
        <f t="shared" si="10"/>
        <v>0</v>
      </c>
      <c r="N47" s="1"/>
      <c r="O47" s="1"/>
    </row>
    <row r="48" spans="1:16">
      <c r="A48" s="1"/>
      <c r="B48" s="37" t="s">
        <v>22</v>
      </c>
      <c r="C48" s="41" t="s">
        <v>75</v>
      </c>
      <c r="D48" s="53">
        <v>0</v>
      </c>
      <c r="E48" s="21">
        <v>0</v>
      </c>
      <c r="F48" s="16">
        <f t="shared" si="6"/>
        <v>0</v>
      </c>
      <c r="G48" s="21">
        <v>0</v>
      </c>
      <c r="H48" s="16">
        <f t="shared" si="7"/>
        <v>0</v>
      </c>
      <c r="I48" s="21">
        <f>ROUND(0.0004*O15,1)</f>
        <v>2</v>
      </c>
      <c r="J48" s="16">
        <f t="shared" si="8"/>
        <v>0</v>
      </c>
      <c r="K48" s="21">
        <f>ROUND(0.0013*O15,1)</f>
        <v>6.5</v>
      </c>
      <c r="L48" s="16">
        <f t="shared" si="9"/>
        <v>0</v>
      </c>
      <c r="M48" s="16">
        <f t="shared" si="10"/>
        <v>0</v>
      </c>
      <c r="N48" s="1"/>
      <c r="O48" s="1"/>
    </row>
    <row r="49" spans="1:15">
      <c r="A49" s="1"/>
      <c r="B49" s="34" t="s">
        <v>22</v>
      </c>
      <c r="C49" s="41" t="s">
        <v>76</v>
      </c>
      <c r="D49" s="53">
        <v>0</v>
      </c>
      <c r="E49" s="21">
        <v>2</v>
      </c>
      <c r="F49" s="16">
        <f t="shared" si="6"/>
        <v>0</v>
      </c>
      <c r="G49" s="21">
        <v>0</v>
      </c>
      <c r="H49" s="16">
        <f t="shared" si="7"/>
        <v>0</v>
      </c>
      <c r="I49" s="21">
        <v>2</v>
      </c>
      <c r="J49" s="16">
        <f t="shared" si="8"/>
        <v>0</v>
      </c>
      <c r="K49" s="21">
        <v>3</v>
      </c>
      <c r="L49" s="16">
        <f t="shared" si="9"/>
        <v>0</v>
      </c>
      <c r="M49" s="16">
        <f t="shared" si="10"/>
        <v>0</v>
      </c>
      <c r="N49" s="1"/>
      <c r="O49" s="1"/>
    </row>
    <row r="50" spans="1:15">
      <c r="A50" s="1"/>
      <c r="B50" s="15" t="s">
        <v>23</v>
      </c>
      <c r="C50" s="41" t="s">
        <v>75</v>
      </c>
      <c r="D50" s="53">
        <v>0</v>
      </c>
      <c r="E50" s="21">
        <v>0</v>
      </c>
      <c r="F50" s="16">
        <f t="shared" si="6"/>
        <v>0</v>
      </c>
      <c r="G50" s="21">
        <v>0</v>
      </c>
      <c r="H50" s="16">
        <f t="shared" si="7"/>
        <v>0</v>
      </c>
      <c r="I50" s="21">
        <f>ROUND(0.0005*O15,1)</f>
        <v>2.5</v>
      </c>
      <c r="J50" s="16">
        <f t="shared" si="8"/>
        <v>0</v>
      </c>
      <c r="K50" s="21">
        <f>ROUND(0.00075*O15,1)</f>
        <v>3.8</v>
      </c>
      <c r="L50" s="16">
        <f t="shared" si="9"/>
        <v>0</v>
      </c>
      <c r="M50" s="16">
        <f t="shared" si="10"/>
        <v>0</v>
      </c>
      <c r="N50" s="1"/>
      <c r="O50" s="1"/>
    </row>
    <row r="51" spans="1:15">
      <c r="A51" s="1"/>
      <c r="B51" s="15" t="s">
        <v>35</v>
      </c>
      <c r="C51" s="14" t="s">
        <v>36</v>
      </c>
      <c r="D51" s="53">
        <v>0</v>
      </c>
      <c r="E51" s="21">
        <f>ROUND(E16/1000,1)</f>
        <v>5</v>
      </c>
      <c r="F51" s="16">
        <f t="shared" si="6"/>
        <v>0</v>
      </c>
      <c r="G51" s="21">
        <v>0</v>
      </c>
      <c r="H51" s="16">
        <f t="shared" si="7"/>
        <v>0</v>
      </c>
      <c r="I51" s="21">
        <v>0</v>
      </c>
      <c r="J51" s="16">
        <f t="shared" si="8"/>
        <v>0</v>
      </c>
      <c r="K51" s="21">
        <v>0</v>
      </c>
      <c r="L51" s="16">
        <f t="shared" si="9"/>
        <v>0</v>
      </c>
      <c r="M51" s="16">
        <f t="shared" si="10"/>
        <v>0</v>
      </c>
      <c r="N51" s="1"/>
      <c r="O51" s="1"/>
    </row>
    <row r="52" spans="1:15">
      <c r="A52" s="1"/>
      <c r="B52" s="15" t="s">
        <v>37</v>
      </c>
      <c r="C52" s="14" t="s">
        <v>24</v>
      </c>
      <c r="D52" s="53">
        <v>0</v>
      </c>
      <c r="E52" s="21">
        <f>ROUND(((E18/0.2)+(E19/0.6))/1000,1)</f>
        <v>1.1000000000000001</v>
      </c>
      <c r="F52" s="16">
        <f t="shared" si="6"/>
        <v>0</v>
      </c>
      <c r="G52" s="21">
        <v>0</v>
      </c>
      <c r="H52" s="16">
        <f t="shared" si="7"/>
        <v>0</v>
      </c>
      <c r="I52" s="21">
        <f>ROUND(((I19/0.6)+(I20/0.2)+I25+I26)/1000,1)</f>
        <v>0.5</v>
      </c>
      <c r="J52" s="16">
        <f t="shared" si="8"/>
        <v>0</v>
      </c>
      <c r="K52" s="21">
        <f>ROUND(((K19/0.6)+(K20/0.2)+K25+K26)/1000,1)</f>
        <v>1.2</v>
      </c>
      <c r="L52" s="16">
        <f t="shared" si="9"/>
        <v>0</v>
      </c>
      <c r="M52" s="16">
        <f t="shared" si="10"/>
        <v>0</v>
      </c>
      <c r="N52" s="1"/>
      <c r="O52" s="1"/>
    </row>
    <row r="53" spans="1:15">
      <c r="A53" s="1"/>
      <c r="B53" s="23" t="s">
        <v>38</v>
      </c>
      <c r="C53" s="24" t="s">
        <v>39</v>
      </c>
      <c r="D53" s="25" t="s">
        <v>39</v>
      </c>
      <c r="E53" s="24" t="s">
        <v>39</v>
      </c>
      <c r="F53" s="26">
        <f>SUM(F30:F52)</f>
        <v>0</v>
      </c>
      <c r="G53" s="24" t="s">
        <v>39</v>
      </c>
      <c r="H53" s="26">
        <f>SUM(H30:H52)</f>
        <v>0</v>
      </c>
      <c r="I53" s="24" t="s">
        <v>39</v>
      </c>
      <c r="J53" s="26">
        <f>SUM(J30:J52)</f>
        <v>0</v>
      </c>
      <c r="K53" s="26"/>
      <c r="L53" s="26">
        <f>SUM(L30:L52)</f>
        <v>0</v>
      </c>
      <c r="M53" s="16">
        <f t="shared" si="10"/>
        <v>0</v>
      </c>
      <c r="N53" s="1"/>
      <c r="O53" s="1"/>
    </row>
    <row r="54" spans="1:15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1"/>
      <c r="O54" s="1"/>
    </row>
    <row r="55" spans="1:15">
      <c r="B55" s="12" t="s">
        <v>25</v>
      </c>
      <c r="C55" s="14" t="s">
        <v>39</v>
      </c>
      <c r="D55" s="14" t="s">
        <v>39</v>
      </c>
      <c r="E55" s="14" t="s">
        <v>39</v>
      </c>
      <c r="F55" s="22">
        <f>SUM(F27+F53)</f>
        <v>0</v>
      </c>
      <c r="G55" s="20" t="s">
        <v>39</v>
      </c>
      <c r="H55" s="22">
        <f>SUM(H27+H53)</f>
        <v>0</v>
      </c>
      <c r="I55" s="20" t="s">
        <v>39</v>
      </c>
      <c r="J55" s="22">
        <f>SUM(J27+J53)</f>
        <v>0</v>
      </c>
      <c r="K55" s="20" t="s">
        <v>39</v>
      </c>
      <c r="L55" s="22">
        <f>SUM(L27+L53)</f>
        <v>0</v>
      </c>
      <c r="M55" s="22">
        <f>SUM(M27+M53)</f>
        <v>0</v>
      </c>
      <c r="N55" s="1"/>
      <c r="O55" s="1"/>
    </row>
  </sheetData>
  <mergeCells count="26">
    <mergeCell ref="B3:M3"/>
    <mergeCell ref="B28:M28"/>
    <mergeCell ref="B54:M54"/>
    <mergeCell ref="C11:C14"/>
    <mergeCell ref="K13:K14"/>
    <mergeCell ref="G11:H11"/>
    <mergeCell ref="I11:J11"/>
    <mergeCell ref="B15:M15"/>
    <mergeCell ref="B29:M29"/>
    <mergeCell ref="E11:F11"/>
    <mergeCell ref="E12:F12"/>
    <mergeCell ref="B9:E9"/>
    <mergeCell ref="B4:M4"/>
    <mergeCell ref="B5:M5"/>
    <mergeCell ref="B11:B14"/>
    <mergeCell ref="B7:E7"/>
    <mergeCell ref="N23:N24"/>
    <mergeCell ref="O23:O24"/>
    <mergeCell ref="B8:E8"/>
    <mergeCell ref="K11:L11"/>
    <mergeCell ref="M11:M14"/>
    <mergeCell ref="G12:H12"/>
    <mergeCell ref="I12:J12"/>
    <mergeCell ref="K12:L12"/>
    <mergeCell ref="G13:G14"/>
    <mergeCell ref="I13:I14"/>
  </mergeCells>
  <phoneticPr fontId="3" type="noConversion"/>
  <dataValidations disablePrompts="1" count="3">
    <dataValidation type="decimal" allowBlank="1" showInputMessage="1" showErrorMessage="1" errorTitle="ATENÇÃO" error="O espaçamento entre as linhas de plantio deve estar entre 1,70 e 4,00 metros." sqref="F8">
      <formula1>1.7</formula1>
      <formula2>4</formula2>
    </dataValidation>
    <dataValidation type="decimal" allowBlank="1" showInputMessage="1" showErrorMessage="1" errorTitle="ATENÇÃO" error="O espaçamento entre as plantas deve estar compreendido entre 0,5 e 2,00 metros" sqref="F9">
      <formula1>0.5</formula1>
      <formula2>2</formula2>
    </dataValidation>
    <dataValidation type="decimal" allowBlank="1" showInputMessage="1" showErrorMessage="1" errorTitle="ATENÇÃO" error="Este Orçamento Analítico permite áreas mínimas de 0,1 e máxima de 100 hectares." sqref="F7">
      <formula1>0.1</formula1>
      <formula2>100</formula2>
    </dataValidation>
  </dataValidations>
  <printOptions horizontalCentered="1" verticalCentered="1"/>
  <pageMargins left="0.59055118110236227" right="0.59055118110236227" top="0.59055118110236227" bottom="0.59055118110236227" header="0.11811023622047245" footer="0.11811023622047245"/>
  <pageSetup paperSize="9" scale="70" orientation="landscape" blackAndWhite="1" horizontalDpi="300" verticalDpi="300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Preços Insumos e Serviços</vt:lpstr>
      <vt:lpstr>MATRIZ</vt:lpstr>
      <vt:lpstr>MATRIZ!Area_de_impressao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Moreira de Andrade</dc:creator>
  <cp:lastModifiedBy>User</cp:lastModifiedBy>
  <cp:lastPrinted>2022-01-29T20:31:05Z</cp:lastPrinted>
  <dcterms:created xsi:type="dcterms:W3CDTF">2000-06-20T00:04:35Z</dcterms:created>
  <dcterms:modified xsi:type="dcterms:W3CDTF">2022-02-01T16:41:01Z</dcterms:modified>
</cp:coreProperties>
</file>