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c04c768652a82e1/Documentos/"/>
    </mc:Choice>
  </mc:AlternateContent>
  <xr:revisionPtr revIDLastSave="0" documentId="8_{75813639-1EC4-409E-BC78-0414E9806631}" xr6:coauthVersionLast="47" xr6:coauthVersionMax="47" xr10:uidLastSave="{00000000-0000-0000-0000-000000000000}"/>
  <bookViews>
    <workbookView xWindow="-120" yWindow="-120" windowWidth="38640" windowHeight="14775" xr2:uid="{6A96E79A-1FF3-45AF-9448-588EE1DEBFDF}"/>
  </bookViews>
  <sheets>
    <sheet name="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G49" i="1"/>
  <c r="F49" i="1"/>
  <c r="M49" i="1" s="1"/>
  <c r="M48" i="1"/>
  <c r="K48" i="1"/>
  <c r="G48" i="1"/>
  <c r="J48" i="1" s="1"/>
  <c r="F48" i="1"/>
  <c r="K47" i="1"/>
  <c r="H47" i="1"/>
  <c r="G47" i="1"/>
  <c r="J47" i="1" s="1"/>
  <c r="F47" i="1"/>
  <c r="H48" i="1" s="1"/>
  <c r="K40" i="1"/>
  <c r="G40" i="1"/>
  <c r="J40" i="1" s="1"/>
  <c r="F40" i="1"/>
  <c r="M40" i="1" s="1"/>
  <c r="K39" i="1"/>
  <c r="G39" i="1"/>
  <c r="J39" i="1" s="1"/>
  <c r="F39" i="1"/>
  <c r="M39" i="1" s="1"/>
  <c r="K38" i="1"/>
  <c r="G38" i="1"/>
  <c r="J38" i="1" s="1"/>
  <c r="F38" i="1"/>
  <c r="M38" i="1" s="1"/>
  <c r="K34" i="1"/>
  <c r="G34" i="1"/>
  <c r="J34" i="1" s="1"/>
  <c r="F34" i="1"/>
  <c r="M34" i="1" s="1"/>
  <c r="K33" i="1"/>
  <c r="G33" i="1"/>
  <c r="J33" i="1" s="1"/>
  <c r="F33" i="1"/>
  <c r="H33" i="1" s="1"/>
  <c r="M32" i="1"/>
  <c r="K32" i="1"/>
  <c r="G32" i="1"/>
  <c r="J32" i="1" s="1"/>
  <c r="F32" i="1"/>
  <c r="M33" i="1" s="1"/>
  <c r="U24" i="1"/>
  <c r="G23" i="1"/>
  <c r="F23" i="1"/>
  <c r="E23" i="1"/>
  <c r="Y23" i="1" s="1"/>
  <c r="D23" i="1"/>
  <c r="B23" i="1"/>
  <c r="G22" i="1"/>
  <c r="F22" i="1"/>
  <c r="E22" i="1"/>
  <c r="Y22" i="1" s="1"/>
  <c r="D22" i="1"/>
  <c r="B22" i="1"/>
  <c r="G21" i="1"/>
  <c r="F21" i="1"/>
  <c r="E21" i="1"/>
  <c r="Y25" i="1" s="1"/>
  <c r="D21" i="1"/>
  <c r="B21" i="1"/>
  <c r="G20" i="1"/>
  <c r="F20" i="1"/>
  <c r="E20" i="1"/>
  <c r="U25" i="1" s="1"/>
  <c r="D20" i="1"/>
  <c r="B20" i="1"/>
  <c r="M16" i="1"/>
  <c r="K16" i="1"/>
  <c r="H16" i="1"/>
  <c r="G16" i="1"/>
  <c r="J16" i="1" s="1"/>
  <c r="F16" i="1"/>
  <c r="E16" i="1"/>
  <c r="Y15" i="1" s="1"/>
  <c r="D16" i="1"/>
  <c r="M15" i="1"/>
  <c r="K15" i="1"/>
  <c r="H15" i="1"/>
  <c r="G15" i="1"/>
  <c r="J15" i="1" s="1"/>
  <c r="F15" i="1"/>
  <c r="E15" i="1"/>
  <c r="Y16" i="1" s="1"/>
  <c r="D15" i="1"/>
  <c r="U14" i="1"/>
  <c r="M14" i="1"/>
  <c r="K14" i="1"/>
  <c r="H14" i="1"/>
  <c r="G14" i="1"/>
  <c r="J14" i="1" s="1"/>
  <c r="F14" i="1"/>
  <c r="E14" i="1"/>
  <c r="U16" i="1" s="1"/>
  <c r="D14" i="1"/>
  <c r="M10" i="1"/>
  <c r="K10" i="1"/>
  <c r="H10" i="1"/>
  <c r="G10" i="1"/>
  <c r="J10" i="1" s="1"/>
  <c r="F10" i="1"/>
  <c r="E10" i="1"/>
  <c r="Y9" i="1" s="1"/>
  <c r="D10" i="1"/>
  <c r="M9" i="1"/>
  <c r="K9" i="1"/>
  <c r="H9" i="1"/>
  <c r="G9" i="1"/>
  <c r="J9" i="1" s="1"/>
  <c r="F9" i="1"/>
  <c r="E9" i="1"/>
  <c r="Y10" i="1" s="1"/>
  <c r="D9" i="1"/>
  <c r="U8" i="1"/>
  <c r="M8" i="1"/>
  <c r="K8" i="1"/>
  <c r="H8" i="1"/>
  <c r="G8" i="1"/>
  <c r="J8" i="1" s="1"/>
  <c r="F8" i="1"/>
  <c r="E8" i="1"/>
  <c r="U10" i="1" s="1"/>
  <c r="D8" i="1"/>
  <c r="I33" i="1" l="1"/>
  <c r="L33" i="1" s="1"/>
  <c r="I48" i="1"/>
  <c r="L48" i="1" s="1"/>
  <c r="L8" i="1"/>
  <c r="Y24" i="1"/>
  <c r="H32" i="1"/>
  <c r="H34" i="1"/>
  <c r="H38" i="1"/>
  <c r="H39" i="1"/>
  <c r="H40" i="1"/>
  <c r="I47" i="1"/>
  <c r="L47" i="1" s="1"/>
  <c r="M47" i="1"/>
  <c r="I8" i="1"/>
  <c r="I9" i="1"/>
  <c r="L9" i="1" s="1"/>
  <c r="U9" i="1"/>
  <c r="I10" i="1"/>
  <c r="L10" i="1" s="1"/>
  <c r="I14" i="1"/>
  <c r="L14" i="1" s="1"/>
  <c r="I15" i="1"/>
  <c r="L15" i="1" s="1"/>
  <c r="U15" i="1"/>
  <c r="I16" i="1"/>
  <c r="L16" i="1" s="1"/>
  <c r="U20" i="1"/>
  <c r="U21" i="1"/>
  <c r="U22" i="1"/>
  <c r="U23" i="1"/>
  <c r="H49" i="1"/>
  <c r="Y8" i="1"/>
  <c r="Y14" i="1"/>
  <c r="Y20" i="1"/>
  <c r="Y21" i="1"/>
  <c r="O47" i="1" l="1"/>
  <c r="R47" i="1" s="1"/>
  <c r="N47" i="1"/>
  <c r="N15" i="1"/>
  <c r="O15" i="1" s="1"/>
  <c r="R15" i="1" s="1"/>
  <c r="B15" i="1" s="1"/>
  <c r="N9" i="1"/>
  <c r="O9" i="1" s="1"/>
  <c r="R9" i="1" s="1"/>
  <c r="B9" i="1" s="1"/>
  <c r="N33" i="1"/>
  <c r="O33" i="1" s="1"/>
  <c r="R33" i="1" s="1"/>
  <c r="B33" i="1" s="1"/>
  <c r="N14" i="1"/>
  <c r="O14" i="1"/>
  <c r="R14" i="1" s="1"/>
  <c r="B14" i="1" s="1"/>
  <c r="N48" i="1"/>
  <c r="O48" i="1" s="1"/>
  <c r="R48" i="1" s="1"/>
  <c r="N16" i="1"/>
  <c r="O16" i="1"/>
  <c r="R16" i="1" s="1"/>
  <c r="B16" i="1" s="1"/>
  <c r="N10" i="1"/>
  <c r="O10" i="1" s="1"/>
  <c r="R10" i="1" s="1"/>
  <c r="B10" i="1" s="1"/>
  <c r="I49" i="1"/>
  <c r="L49" i="1"/>
  <c r="I39" i="1"/>
  <c r="L39" i="1" s="1"/>
  <c r="I38" i="1"/>
  <c r="L38" i="1"/>
  <c r="I34" i="1"/>
  <c r="L34" i="1" s="1"/>
  <c r="N8" i="1"/>
  <c r="O8" i="1"/>
  <c r="R8" i="1" s="1"/>
  <c r="B8" i="1" s="1"/>
  <c r="I40" i="1"/>
  <c r="L40" i="1" s="1"/>
  <c r="I32" i="1"/>
  <c r="L32" i="1"/>
  <c r="N39" i="1" l="1"/>
  <c r="O39" i="1" s="1"/>
  <c r="R39" i="1" s="1"/>
  <c r="B39" i="1" s="1"/>
  <c r="N34" i="1"/>
  <c r="O34" i="1" s="1"/>
  <c r="R34" i="1" s="1"/>
  <c r="B34" i="1" s="1"/>
  <c r="N40" i="1"/>
  <c r="O40" i="1" s="1"/>
  <c r="R40" i="1" s="1"/>
  <c r="B40" i="1" s="1"/>
  <c r="N32" i="1"/>
  <c r="O32" i="1"/>
  <c r="R32" i="1" s="1"/>
  <c r="B32" i="1" s="1"/>
  <c r="E40" i="1"/>
  <c r="E39" i="1"/>
  <c r="E38" i="1"/>
  <c r="E34" i="1"/>
  <c r="E33" i="1"/>
  <c r="E32" i="1"/>
  <c r="D40" i="1"/>
  <c r="D39" i="1"/>
  <c r="D38" i="1"/>
  <c r="D34" i="1"/>
  <c r="D33" i="1"/>
  <c r="D32" i="1"/>
  <c r="N38" i="1"/>
  <c r="O38" i="1" s="1"/>
  <c r="R38" i="1" s="1"/>
  <c r="B38" i="1" s="1"/>
  <c r="N49" i="1"/>
  <c r="O49" i="1" s="1"/>
  <c r="R49" i="1" s="1"/>
  <c r="Y40" i="1" l="1"/>
  <c r="U38" i="1"/>
  <c r="Y33" i="1"/>
  <c r="Y32" i="1"/>
  <c r="E49" i="1"/>
  <c r="D48" i="1"/>
  <c r="E48" i="1"/>
  <c r="D47" i="1"/>
  <c r="D49" i="1"/>
  <c r="E47" i="1"/>
  <c r="U40" i="1"/>
  <c r="U39" i="1"/>
  <c r="U34" i="1"/>
  <c r="U33" i="1"/>
  <c r="Y34" i="1"/>
  <c r="U32" i="1"/>
  <c r="Y39" i="1"/>
  <c r="Y38" i="1"/>
  <c r="Y47" i="1" l="1"/>
  <c r="Y48" i="1"/>
  <c r="U49" i="1"/>
  <c r="U48" i="1"/>
  <c r="Y49" i="1"/>
  <c r="U47" i="1"/>
</calcChain>
</file>

<file path=xl/sharedStrings.xml><?xml version="1.0" encoding="utf-8"?>
<sst xmlns="http://schemas.openxmlformats.org/spreadsheetml/2006/main" count="140" uniqueCount="32">
  <si>
    <t>FASE 1</t>
  </si>
  <si>
    <t>Grupo A</t>
  </si>
  <si>
    <t>Sorteio</t>
  </si>
  <si>
    <t>Rk</t>
  </si>
  <si>
    <t>Dupla</t>
  </si>
  <si>
    <t>Vitórias</t>
  </si>
  <si>
    <t>Games</t>
  </si>
  <si>
    <t>Ordem 1 (vitorias)</t>
  </si>
  <si>
    <t>Ordem 2 (games)</t>
  </si>
  <si>
    <t>Ordem 3 (confronto)</t>
  </si>
  <si>
    <t>Ordem 4(game average)</t>
  </si>
  <si>
    <t>Ordem1</t>
  </si>
  <si>
    <t>Ordem2</t>
  </si>
  <si>
    <t>Ordem3</t>
  </si>
  <si>
    <t>.</t>
  </si>
  <si>
    <t>Ordem</t>
  </si>
  <si>
    <t>A</t>
  </si>
  <si>
    <t>X</t>
  </si>
  <si>
    <t>Grupo B</t>
  </si>
  <si>
    <t>B</t>
  </si>
  <si>
    <t>Grupo C</t>
  </si>
  <si>
    <t>C</t>
  </si>
  <si>
    <t>FASE 2</t>
  </si>
  <si>
    <t>1.A</t>
  </si>
  <si>
    <t>2.B</t>
  </si>
  <si>
    <t>2.C</t>
  </si>
  <si>
    <t>1.B</t>
  </si>
  <si>
    <t>1.C</t>
  </si>
  <si>
    <t>2.A</t>
  </si>
  <si>
    <t>FASE 3</t>
  </si>
  <si>
    <t>Grupo Final</t>
  </si>
  <si>
    <t>1.Melhor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</si>
</sst>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rgb="FF00264F"/>
      <name val="Aptos Narrow"/>
      <family val="2"/>
      <scheme val="minor"/>
    </font>
    <font>
      <b/>
      <i/>
      <sz val="11"/>
      <color rgb="FF00264F"/>
      <name val="Aptos Narrow"/>
      <family val="2"/>
      <scheme val="minor"/>
    </font>
    <font>
      <b/>
      <i/>
      <sz val="11"/>
      <color rgb="FFC2333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23336"/>
        <bgColor indexed="64"/>
      </patternFill>
    </fill>
    <fill>
      <patternFill patternType="solid">
        <fgColor rgb="FF85B6FF"/>
        <bgColor indexed="64"/>
      </patternFill>
    </fill>
    <fill>
      <patternFill patternType="solid">
        <fgColor rgb="FF00264F"/>
        <bgColor indexed="64"/>
      </patternFill>
    </fill>
    <fill>
      <patternFill patternType="solid">
        <fgColor rgb="FFDD7D7F"/>
        <bgColor indexed="64"/>
      </patternFill>
    </fill>
  </fills>
  <borders count="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"/>
      <sheetName val="RK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</sheetNames>
    <sheetDataSet>
      <sheetData sheetId="0">
        <row r="1">
          <cell r="B1" t="str">
            <v>Atleta 1</v>
          </cell>
          <cell r="C1" t="str">
            <v>Atleta 2</v>
          </cell>
          <cell r="D1" t="str">
            <v>Dupla</v>
          </cell>
          <cell r="E1" t="str">
            <v>Rk1</v>
          </cell>
          <cell r="F1" t="str">
            <v>Rk2</v>
          </cell>
          <cell r="G1" t="str">
            <v>Rk Dupla</v>
          </cell>
        </row>
        <row r="2">
          <cell r="A2">
            <v>1</v>
          </cell>
          <cell r="B2" t="str">
            <v>DIEGO MARTENDAL</v>
          </cell>
          <cell r="C2" t="str">
            <v>TIAGO BRITO</v>
          </cell>
          <cell r="D2" t="str">
            <v>DIEGO MARTENDAL - TIAGO BRITO</v>
          </cell>
          <cell r="E2">
            <v>1</v>
          </cell>
          <cell r="F2">
            <v>19</v>
          </cell>
          <cell r="G2">
            <v>20</v>
          </cell>
        </row>
        <row r="3">
          <cell r="A3">
            <v>2</v>
          </cell>
          <cell r="B3" t="str">
            <v>THIAGO COLOSIO</v>
          </cell>
          <cell r="C3" t="str">
            <v>EDUARDO GAMBINI</v>
          </cell>
          <cell r="D3" t="str">
            <v>THIAGO COLOSIO - EDUARDO GAMBINI</v>
          </cell>
          <cell r="E3">
            <v>2</v>
          </cell>
          <cell r="F3">
            <v>20</v>
          </cell>
          <cell r="G3">
            <v>22</v>
          </cell>
        </row>
        <row r="4">
          <cell r="A4">
            <v>3</v>
          </cell>
          <cell r="B4" t="str">
            <v>GEDER COMINETTI</v>
          </cell>
          <cell r="C4" t="str">
            <v>OBERDAN SANTOS</v>
          </cell>
          <cell r="D4" t="str">
            <v>GEDER COMINETTI - OBERDAN SANTOS</v>
          </cell>
          <cell r="E4">
            <v>3</v>
          </cell>
          <cell r="F4">
            <v>21</v>
          </cell>
          <cell r="G4">
            <v>24</v>
          </cell>
        </row>
        <row r="5">
          <cell r="A5">
            <v>4</v>
          </cell>
          <cell r="B5" t="str">
            <v>JONATHAS DE LIMA</v>
          </cell>
          <cell r="C5" t="str">
            <v>ANDERSON ROTAVA</v>
          </cell>
          <cell r="D5" t="str">
            <v>JONATHAS DE LIMA - ANDERSON ROTAVA</v>
          </cell>
          <cell r="E5">
            <v>4</v>
          </cell>
          <cell r="F5">
            <v>22</v>
          </cell>
          <cell r="G5">
            <v>26</v>
          </cell>
        </row>
        <row r="6">
          <cell r="A6">
            <v>5</v>
          </cell>
          <cell r="B6" t="str">
            <v>ANDERSON FRIZZO</v>
          </cell>
          <cell r="C6" t="str">
            <v>ALEX MARICAL</v>
          </cell>
          <cell r="D6" t="str">
            <v>ANDERSON FRIZZO - ALEX MARICAL</v>
          </cell>
          <cell r="E6">
            <v>5</v>
          </cell>
          <cell r="F6">
            <v>23</v>
          </cell>
          <cell r="G6">
            <v>28</v>
          </cell>
        </row>
        <row r="7">
          <cell r="A7">
            <v>6</v>
          </cell>
          <cell r="B7" t="str">
            <v>ANDRE BRUGNERA</v>
          </cell>
          <cell r="C7" t="str">
            <v>LUCIO PELANDA</v>
          </cell>
          <cell r="D7" t="str">
            <v>ANDRE BRUGNERA - LUCIO PELANDA</v>
          </cell>
          <cell r="E7">
            <v>6</v>
          </cell>
          <cell r="F7">
            <v>24</v>
          </cell>
          <cell r="G7">
            <v>30</v>
          </cell>
        </row>
        <row r="8">
          <cell r="A8">
            <v>7</v>
          </cell>
          <cell r="B8" t="str">
            <v>ERICO FRUTUOSO</v>
          </cell>
          <cell r="C8" t="str">
            <v>ALAN NORA</v>
          </cell>
          <cell r="D8" t="str">
            <v>ERICO FRUTUOSO - ALAN NORA</v>
          </cell>
          <cell r="E8">
            <v>7</v>
          </cell>
          <cell r="F8">
            <v>25</v>
          </cell>
          <cell r="G8">
            <v>32</v>
          </cell>
        </row>
        <row r="9">
          <cell r="A9">
            <v>8</v>
          </cell>
          <cell r="B9" t="str">
            <v>JOAO CARLOS</v>
          </cell>
          <cell r="C9" t="str">
            <v>VITOR ZAMPOL</v>
          </cell>
          <cell r="D9" t="str">
            <v>JOAO CARLOS - VITOR ZAMPOL</v>
          </cell>
          <cell r="E9">
            <v>8</v>
          </cell>
          <cell r="F9">
            <v>26</v>
          </cell>
          <cell r="G9">
            <v>34</v>
          </cell>
        </row>
        <row r="10">
          <cell r="A10">
            <v>9</v>
          </cell>
          <cell r="B10" t="str">
            <v>KLEBER DE OLIVEIRA</v>
          </cell>
          <cell r="C10" t="str">
            <v>RICARDO TORQUES</v>
          </cell>
          <cell r="D10" t="str">
            <v>KLEBER DE OLIVEIRA - RICARDO TORQUES</v>
          </cell>
          <cell r="E10">
            <v>9</v>
          </cell>
          <cell r="F10">
            <v>27</v>
          </cell>
          <cell r="G10">
            <v>36</v>
          </cell>
        </row>
        <row r="11">
          <cell r="A11">
            <v>10</v>
          </cell>
          <cell r="B11" t="str">
            <v>LUCAS TOREGEANI</v>
          </cell>
          <cell r="C11" t="str">
            <v>JOAO BUZZI</v>
          </cell>
          <cell r="D11" t="str">
            <v>LUCAS TOREGEANI - JOAO BUZZI</v>
          </cell>
          <cell r="E11">
            <v>10</v>
          </cell>
          <cell r="F11">
            <v>28</v>
          </cell>
          <cell r="G11">
            <v>38</v>
          </cell>
        </row>
        <row r="12">
          <cell r="A12">
            <v>11</v>
          </cell>
          <cell r="B12" t="str">
            <v>JHONNATH SIMON</v>
          </cell>
          <cell r="C12" t="str">
            <v>MARCELO ROCHA</v>
          </cell>
          <cell r="D12" t="str">
            <v>JHONNATH SIMON - MARCELO ROCHA</v>
          </cell>
          <cell r="E12">
            <v>11</v>
          </cell>
          <cell r="F12">
            <v>29</v>
          </cell>
          <cell r="G12">
            <v>40</v>
          </cell>
        </row>
        <row r="13">
          <cell r="A13">
            <v>12</v>
          </cell>
          <cell r="B13" t="str">
            <v>PAULO CARDOSO</v>
          </cell>
          <cell r="C13" t="str">
            <v>MATHEUS OLIVETI</v>
          </cell>
          <cell r="D13" t="str">
            <v>PAULO CARDOSO - MATHEUS OLIVETI</v>
          </cell>
          <cell r="E13">
            <v>12</v>
          </cell>
          <cell r="F13">
            <v>30</v>
          </cell>
          <cell r="G13">
            <v>42</v>
          </cell>
        </row>
        <row r="14">
          <cell r="A14">
            <v>13</v>
          </cell>
          <cell r="B14" t="str">
            <v>BERNARDO SEYBOTH</v>
          </cell>
          <cell r="C14" t="str">
            <v>JOAO BIAVA</v>
          </cell>
          <cell r="D14" t="str">
            <v>BERNARDO SEYBOTH - JOAO BIAVA</v>
          </cell>
          <cell r="E14">
            <v>13</v>
          </cell>
          <cell r="F14">
            <v>31</v>
          </cell>
          <cell r="G14">
            <v>44</v>
          </cell>
        </row>
        <row r="15">
          <cell r="A15">
            <v>14</v>
          </cell>
          <cell r="B15" t="str">
            <v>RHULIAN FELICIO</v>
          </cell>
          <cell r="C15" t="str">
            <v>GABRIEL SIVIERO</v>
          </cell>
          <cell r="D15" t="str">
            <v>RHULIAN FELICIO - GABRIEL SIVIERO</v>
          </cell>
          <cell r="E15">
            <v>14</v>
          </cell>
          <cell r="F15">
            <v>32</v>
          </cell>
          <cell r="G15">
            <v>46</v>
          </cell>
        </row>
        <row r="16">
          <cell r="A16">
            <v>15</v>
          </cell>
          <cell r="B16" t="str">
            <v>PEDRO CARDOSO</v>
          </cell>
          <cell r="C16" t="str">
            <v>LEONARDO SARAIVA</v>
          </cell>
          <cell r="D16" t="str">
            <v>PEDRO CARDOSO - LEONARDO SARAIVA</v>
          </cell>
          <cell r="E16">
            <v>15</v>
          </cell>
          <cell r="F16">
            <v>33</v>
          </cell>
          <cell r="G16">
            <v>48</v>
          </cell>
        </row>
        <row r="17">
          <cell r="A17">
            <v>16</v>
          </cell>
          <cell r="B17" t="str">
            <v>WALTER LIMA</v>
          </cell>
          <cell r="C17" t="str">
            <v>ANDRE LIMA</v>
          </cell>
          <cell r="D17" t="str">
            <v>WALTER LIMA - ANDRE LIMA</v>
          </cell>
          <cell r="E17">
            <v>16</v>
          </cell>
          <cell r="F17">
            <v>34</v>
          </cell>
          <cell r="G17">
            <v>50</v>
          </cell>
        </row>
        <row r="18">
          <cell r="A18">
            <v>17</v>
          </cell>
          <cell r="B18" t="str">
            <v>JULIO LOPES</v>
          </cell>
          <cell r="C18" t="str">
            <v>ROBERTO FACHINELLO</v>
          </cell>
          <cell r="D18" t="str">
            <v>JULIO LOPES - ROBERTO FACHINELLO</v>
          </cell>
          <cell r="E18">
            <v>17</v>
          </cell>
          <cell r="F18">
            <v>35</v>
          </cell>
          <cell r="G18">
            <v>52</v>
          </cell>
        </row>
        <row r="19">
          <cell r="A19">
            <v>18</v>
          </cell>
          <cell r="B19" t="str">
            <v>WESLEY OLIVEIRA</v>
          </cell>
          <cell r="C19" t="str">
            <v>HELTON MEDEIROS</v>
          </cell>
          <cell r="D19" t="str">
            <v>WESLEY OLIVEIRA - HELTON MEDEIROS</v>
          </cell>
          <cell r="E19">
            <v>18</v>
          </cell>
          <cell r="F19">
            <v>36</v>
          </cell>
          <cell r="G19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F68D-A71F-4C6C-8572-99038C41AB9A}">
  <dimension ref="A3:Z49"/>
  <sheetViews>
    <sheetView tabSelected="1" zoomScale="90" zoomScaleNormal="90" workbookViewId="0">
      <selection activeCell="M21" sqref="M21"/>
    </sheetView>
  </sheetViews>
  <sheetFormatPr defaultRowHeight="15" x14ac:dyDescent="0.25"/>
  <cols>
    <col min="1" max="1" width="8.7109375" bestFit="1" customWidth="1"/>
    <col min="2" max="2" width="4" bestFit="1" customWidth="1"/>
    <col min="3" max="4" width="9.140625" style="12"/>
    <col min="5" max="5" width="39.85546875" bestFit="1" customWidth="1"/>
    <col min="6" max="6" width="7.85546875" bestFit="1" customWidth="1"/>
    <col min="7" max="7" width="7.28515625" style="11" customWidth="1"/>
    <col min="8" max="8" width="17.42578125" style="11" bestFit="1" customWidth="1"/>
    <col min="9" max="9" width="11.28515625" style="11" customWidth="1"/>
    <col min="10" max="10" width="20.5703125" style="11" customWidth="1"/>
    <col min="11" max="11" width="22.7109375" style="11" bestFit="1" customWidth="1"/>
    <col min="12" max="15" width="17" style="11" customWidth="1"/>
    <col min="16" max="16" width="9.7109375" style="11" customWidth="1"/>
    <col min="17" max="17" width="10.140625" style="11" customWidth="1"/>
    <col min="18" max="18" width="7.140625" style="11" bestFit="1" customWidth="1"/>
    <col min="19" max="19" width="11.7109375" style="11" customWidth="1"/>
    <col min="20" max="20" width="5.7109375" customWidth="1"/>
    <col min="21" max="21" width="38.7109375" bestFit="1" customWidth="1"/>
    <col min="22" max="22" width="5" style="11" customWidth="1"/>
    <col min="23" max="23" width="2.140625" style="10" bestFit="1" customWidth="1"/>
    <col min="24" max="24" width="5.42578125" style="11" customWidth="1"/>
    <col min="25" max="25" width="39.85546875" bestFit="1" customWidth="1"/>
  </cols>
  <sheetData>
    <row r="3" spans="2:25" x14ac:dyDescent="0.25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2:25" x14ac:dyDescent="0.25">
      <c r="C6" s="2" t="s">
        <v>1</v>
      </c>
      <c r="D6" s="2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2"/>
      <c r="W6" s="2"/>
      <c r="X6" s="2"/>
      <c r="Y6" s="3"/>
    </row>
    <row r="7" spans="2:25" x14ac:dyDescent="0.25">
      <c r="C7" s="4" t="s">
        <v>2</v>
      </c>
      <c r="D7" s="4" t="s">
        <v>3</v>
      </c>
      <c r="E7" s="5" t="s">
        <v>4</v>
      </c>
      <c r="F7" s="4" t="s">
        <v>5</v>
      </c>
      <c r="G7" s="4" t="s">
        <v>6</v>
      </c>
      <c r="H7" s="6" t="s">
        <v>7</v>
      </c>
      <c r="I7" s="6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/>
      <c r="Q7" s="4"/>
      <c r="R7" s="4" t="s">
        <v>15</v>
      </c>
      <c r="S7" s="4"/>
      <c r="U7" s="4"/>
      <c r="V7" s="4"/>
      <c r="W7" s="7"/>
      <c r="X7" s="4"/>
      <c r="Y7" s="4"/>
    </row>
    <row r="8" spans="2:25" x14ac:dyDescent="0.25">
      <c r="B8" t="str">
        <f>R8&amp;"."&amp;S8</f>
        <v>2.A</v>
      </c>
      <c r="C8" s="8">
        <v>1</v>
      </c>
      <c r="D8" s="9">
        <f>VLOOKUP(C8,[1]INSC!A:G,7,FALSE())</f>
        <v>20</v>
      </c>
      <c r="E8" s="3" t="str">
        <f>VLOOKUP(C8,[1]INSC!A:G,4,FALSE())</f>
        <v>DIEGO MARTENDAL - TIAGO BRITO</v>
      </c>
      <c r="F8" s="10">
        <f>IF(V9&gt;X9,1,0)+IF(V10&gt;X10,1,0)</f>
        <v>1</v>
      </c>
      <c r="G8" s="10">
        <f>V9-X9+V10-X10</f>
        <v>-1</v>
      </c>
      <c r="H8" s="10">
        <f>IF(AND(F8=1,F9=1,F10=1),0,IF(F8=2,1,IF(F8=0,3,2)))</f>
        <v>0</v>
      </c>
      <c r="I8" s="10">
        <f>IF(H8&lt;&gt;0,0,IF(AND(F8=F9,F8=F10,G8=G9,G8=G10),0,_xlfn.RANK.EQ(G8,G8:G10,0)))</f>
        <v>2</v>
      </c>
      <c r="J8" s="10">
        <f>IF(OR(G8=G9,G8=G10),IF(AND(I8=I9,V10&gt;X10),0,IF(AND(I8=I10,V9&gt;X9),0,1)),0)</f>
        <v>0</v>
      </c>
      <c r="K8" s="10">
        <f>((V9/X9)+(V10/X10))/2</f>
        <v>0.93333333333333335</v>
      </c>
      <c r="L8" s="10">
        <f>H8+I8+J8</f>
        <v>2</v>
      </c>
      <c r="M8" s="10">
        <f>IF(AND(F8=F9,F8=F10),0,IF(AND(L8=L9,L8=L10),_xlfn.RANK.EQ(D8,D8:D10,1),0))</f>
        <v>0</v>
      </c>
      <c r="N8" s="10" t="b">
        <f>IF(L8=0,IF(M8=0,IF(AND(K8=K9,K8=K10),0,_xlfn.RANK.EQ(K8,K8:K10,0)),0))</f>
        <v>0</v>
      </c>
      <c r="O8" s="10">
        <f>IF((L8+M8+N8)=0,_xlfn.RANK.EQ(D8,D8:D10,1),L8+M8+N8)</f>
        <v>2</v>
      </c>
      <c r="P8" s="10"/>
      <c r="Q8" s="10"/>
      <c r="R8" s="10">
        <f>O8</f>
        <v>2</v>
      </c>
      <c r="S8" s="10" t="s">
        <v>16</v>
      </c>
      <c r="U8" s="3" t="str">
        <f>E9</f>
        <v>THIAGO COLOSIO - EDUARDO GAMBINI</v>
      </c>
      <c r="V8" s="11">
        <v>6</v>
      </c>
      <c r="W8" s="2" t="s">
        <v>17</v>
      </c>
      <c r="X8" s="11">
        <v>2</v>
      </c>
      <c r="Y8" s="3" t="str">
        <f>E10</f>
        <v>GEDER COMINETTI - OBERDAN SANTOS</v>
      </c>
    </row>
    <row r="9" spans="2:25" x14ac:dyDescent="0.25">
      <c r="B9" t="str">
        <f t="shared" ref="B9:B10" si="0">R9&amp;"."&amp;S9</f>
        <v>1.A</v>
      </c>
      <c r="C9" s="8">
        <v>2</v>
      </c>
      <c r="D9" s="9">
        <f>VLOOKUP(C9,[1]INSC!A:G,7,FALSE())</f>
        <v>22</v>
      </c>
      <c r="E9" s="3" t="str">
        <f>VLOOKUP(C9,[1]INSC!A:G,4,FALSE())</f>
        <v>THIAGO COLOSIO - EDUARDO GAMBINI</v>
      </c>
      <c r="F9" s="10">
        <f>IF(V8&gt;X8,1,0)+IF(X10&gt;V10,1,0)</f>
        <v>1</v>
      </c>
      <c r="G9" s="10">
        <f>V8-X8+X10-V10</f>
        <v>3</v>
      </c>
      <c r="H9" s="10">
        <f>IF(AND(F9=1,F8=1,F10=1),0,IF(F9=2,1,IF(F9=0,3,2)))</f>
        <v>0</v>
      </c>
      <c r="I9" s="10">
        <f>IF(H9&lt;&gt;0,0,IF(AND(F9=F8,F9=F10,G9=G8,G9=G10),0,_xlfn.RANK.EQ(G9,G8:G10,0)))</f>
        <v>1</v>
      </c>
      <c r="J9" s="10">
        <f>IF(OR(G9=G8,G9=G10),IF(AND(I9=I8,X10&gt;V10),0,IF(AND(I9=I10,V8&gt;X8),0,1)),0)</f>
        <v>0</v>
      </c>
      <c r="K9" s="10">
        <f>((V8/X8)+(X10/V10))/2</f>
        <v>1.9166666666666667</v>
      </c>
      <c r="L9" s="10">
        <f t="shared" ref="L9:L10" si="1">H9+I9+J9</f>
        <v>1</v>
      </c>
      <c r="M9" s="10">
        <f>IF(AND(F9=F8,F9=F10),0,IF(AND(L9=L8,L9=L10),_xlfn.RANK.EQ(D9,D8:D10,1),0))</f>
        <v>0</v>
      </c>
      <c r="N9" s="10" t="b">
        <f>IF(L9=0,IF(M9=0,IF(AND(K9=K8,K9=K10),0,_xlfn.RANK.EQ(K9,K8:K10,0)),0))</f>
        <v>0</v>
      </c>
      <c r="O9" s="10">
        <f>IF((L9+M9+N9)=0,_xlfn.RANK.EQ(D9,D8:D10,1),L9+M9+N9)</f>
        <v>1</v>
      </c>
      <c r="P9" s="10"/>
      <c r="Q9" s="10"/>
      <c r="R9" s="10">
        <f>O9</f>
        <v>1</v>
      </c>
      <c r="S9" s="10" t="s">
        <v>16</v>
      </c>
      <c r="U9" s="3" t="str">
        <f>E8</f>
        <v>DIEGO MARTENDAL - TIAGO BRITO</v>
      </c>
      <c r="V9" s="11">
        <v>4</v>
      </c>
      <c r="W9" s="2" t="s">
        <v>17</v>
      </c>
      <c r="X9" s="11">
        <v>6</v>
      </c>
      <c r="Y9" s="3" t="str">
        <f>E10</f>
        <v>GEDER COMINETTI - OBERDAN SANTOS</v>
      </c>
    </row>
    <row r="10" spans="2:25" x14ac:dyDescent="0.25">
      <c r="B10" t="str">
        <f t="shared" si="0"/>
        <v>3.A</v>
      </c>
      <c r="C10" s="8">
        <v>3</v>
      </c>
      <c r="D10" s="9">
        <f>VLOOKUP(C10,[1]INSC!A:G,7,FALSE())</f>
        <v>24</v>
      </c>
      <c r="E10" s="3" t="str">
        <f>VLOOKUP(C10,[1]INSC!A:G,4,FALSE())</f>
        <v>GEDER COMINETTI - OBERDAN SANTOS</v>
      </c>
      <c r="F10" s="10">
        <f>IF(X8&gt;V8,1,0)+IF(X9&gt;V9,1,0)</f>
        <v>1</v>
      </c>
      <c r="G10" s="10">
        <f>X8-V8+X9-V9</f>
        <v>-2</v>
      </c>
      <c r="H10" s="10">
        <f>IF(AND(F10=1,F8=1,F9=1),0,IF(F10=2,1,IF(F10=0,3,2)))</f>
        <v>0</v>
      </c>
      <c r="I10" s="10">
        <f>IF(H10&lt;&gt;0,0,IF(AND(F10=F8,F10=F9,G10=G8,G10=G9),0,_xlfn.RANK.EQ(G10,G8:G10,0)))</f>
        <v>3</v>
      </c>
      <c r="J10" s="10">
        <f>IF(OR(G10=G8,G10=G9),IF(AND(I10=I8,X9&gt;V9),0,IF(AND(I10=I9,X8&gt;V8),0,1)),0)</f>
        <v>0</v>
      </c>
      <c r="K10" s="10">
        <f>((X8/V8)+(X9/V9))/2</f>
        <v>0.91666666666666663</v>
      </c>
      <c r="L10" s="10">
        <f t="shared" si="1"/>
        <v>3</v>
      </c>
      <c r="M10" s="10">
        <f>IF(AND(F10=F8,F10=F9),0,IF(AND(L10=L8,L10=L9),_xlfn.RANK.EQ(D10,D8:D10,1),0))</f>
        <v>0</v>
      </c>
      <c r="N10" s="10" t="b">
        <f>IF(L10=0,IF(M10=0,IF(AND(K10=K8,K10=K9),0,_xlfn.RANK.EQ(K10,K8:K10,0)),0))</f>
        <v>0</v>
      </c>
      <c r="O10" s="10">
        <f>IF((L10+M10+N10)=0,_xlfn.RANK.EQ(D10,D8:D10,1),L10+M10+N10)</f>
        <v>3</v>
      </c>
      <c r="P10" s="10"/>
      <c r="Q10" s="10"/>
      <c r="R10" s="10">
        <f>O10</f>
        <v>3</v>
      </c>
      <c r="S10" s="10" t="s">
        <v>16</v>
      </c>
      <c r="U10" s="3" t="str">
        <f>E8</f>
        <v>DIEGO MARTENDAL - TIAGO BRITO</v>
      </c>
      <c r="V10" s="11">
        <v>6</v>
      </c>
      <c r="W10" s="2" t="s">
        <v>17</v>
      </c>
      <c r="X10" s="11">
        <v>5</v>
      </c>
      <c r="Y10" s="3" t="str">
        <f>E9</f>
        <v>THIAGO COLOSIO - EDUARDO GAMBINI</v>
      </c>
    </row>
    <row r="12" spans="2:25" x14ac:dyDescent="0.25">
      <c r="C12" s="2" t="s">
        <v>18</v>
      </c>
      <c r="D12" s="2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2"/>
      <c r="W12" s="2"/>
      <c r="X12" s="2"/>
      <c r="Y12" s="3"/>
    </row>
    <row r="13" spans="2:25" x14ac:dyDescent="0.25">
      <c r="C13" s="4" t="s">
        <v>2</v>
      </c>
      <c r="D13" s="4" t="s">
        <v>3</v>
      </c>
      <c r="E13" s="5" t="s">
        <v>4</v>
      </c>
      <c r="F13" s="4" t="s">
        <v>5</v>
      </c>
      <c r="G13" s="4" t="s">
        <v>6</v>
      </c>
      <c r="H13" s="6" t="s">
        <v>7</v>
      </c>
      <c r="I13" s="6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4" t="s">
        <v>13</v>
      </c>
      <c r="O13" s="4" t="s">
        <v>14</v>
      </c>
      <c r="P13" s="4"/>
      <c r="Q13" s="4"/>
      <c r="R13" s="4" t="s">
        <v>15</v>
      </c>
      <c r="S13" s="4"/>
      <c r="U13" s="4"/>
      <c r="V13" s="4"/>
      <c r="W13" s="7"/>
      <c r="X13" s="4"/>
      <c r="Y13" s="4"/>
    </row>
    <row r="14" spans="2:25" x14ac:dyDescent="0.25">
      <c r="B14" t="str">
        <f>R14&amp;"."&amp;S14</f>
        <v>2.B</v>
      </c>
      <c r="C14" s="8">
        <v>4</v>
      </c>
      <c r="D14" s="9">
        <f>VLOOKUP(C14,[1]INSC!A:G,7,FALSE())</f>
        <v>26</v>
      </c>
      <c r="E14" s="3" t="str">
        <f>VLOOKUP(C14,[1]INSC!A:G,4,FALSE())</f>
        <v>JONATHAS DE LIMA - ANDERSON ROTAVA</v>
      </c>
      <c r="F14" s="10">
        <f>IF(V15&gt;X15,1,0)+IF(V16&gt;X16,1,0)</f>
        <v>1</v>
      </c>
      <c r="G14" s="10">
        <f>V15-X15+V16-X16</f>
        <v>-1</v>
      </c>
      <c r="H14" s="10">
        <f>IF(AND(F14=1,F15=1,F16=1),0,IF(F14=2,1,IF(F14=0,3,2)))</f>
        <v>0</v>
      </c>
      <c r="I14" s="10">
        <f>IF(H14&lt;&gt;0,0,IF(AND(F14=F15,F14=F16,G14=G15,G14=G16),0,_xlfn.RANK.EQ(G14,G14:G16,0)))</f>
        <v>2</v>
      </c>
      <c r="J14" s="10">
        <f>IF(OR(G14=G15,G14=G16),IF(AND(I14=I15,V16&gt;X16),0,IF(AND(I14=I16,V15&gt;X15),0,1)),0)</f>
        <v>0</v>
      </c>
      <c r="K14" s="10">
        <f>((V15/X15)+(V16/X16))/2</f>
        <v>0.93333333333333335</v>
      </c>
      <c r="L14" s="10">
        <f>H14+I14+J14</f>
        <v>2</v>
      </c>
      <c r="M14" s="10">
        <f>IF(AND(F14=F15,F14=F16),0,IF(AND(L14=L15,L14=L16),_xlfn.RANK.EQ(D14,D14:D16,1),0))</f>
        <v>0</v>
      </c>
      <c r="N14" s="10" t="b">
        <f>IF(L14=0,IF(M14=0,IF(AND(K14=K15,K14=K16),0,_xlfn.RANK.EQ(K14,K14:K16,0)),0))</f>
        <v>0</v>
      </c>
      <c r="O14" s="10">
        <f>IF((L14+M14+N14)=0,_xlfn.RANK.EQ(D14,D14:D16,1),L14+M14+N14)</f>
        <v>2</v>
      </c>
      <c r="P14" s="10"/>
      <c r="Q14" s="10"/>
      <c r="R14" s="10">
        <f>O14</f>
        <v>2</v>
      </c>
      <c r="S14" s="10" t="s">
        <v>19</v>
      </c>
      <c r="U14" s="3" t="str">
        <f>E15</f>
        <v>ANDERSON FRIZZO - ALEX MARICAL</v>
      </c>
      <c r="V14" s="11">
        <v>6</v>
      </c>
      <c r="W14" s="2" t="s">
        <v>17</v>
      </c>
      <c r="X14" s="11">
        <v>2</v>
      </c>
      <c r="Y14" s="3" t="str">
        <f>E16</f>
        <v>ANDRE BRUGNERA - LUCIO PELANDA</v>
      </c>
    </row>
    <row r="15" spans="2:25" x14ac:dyDescent="0.25">
      <c r="B15" t="str">
        <f t="shared" ref="B15:B16" si="2">R15&amp;"."&amp;S15</f>
        <v>1.B</v>
      </c>
      <c r="C15" s="8">
        <v>5</v>
      </c>
      <c r="D15" s="9">
        <f>VLOOKUP(C15,[1]INSC!A:G,7,FALSE())</f>
        <v>28</v>
      </c>
      <c r="E15" s="3" t="str">
        <f>VLOOKUP(C15,[1]INSC!A:G,4,FALSE())</f>
        <v>ANDERSON FRIZZO - ALEX MARICAL</v>
      </c>
      <c r="F15" s="10">
        <f>IF(V14&gt;X14,1,0)+IF(X16&gt;V16,1,0)</f>
        <v>1</v>
      </c>
      <c r="G15" s="10">
        <f>V14-X14+X16-V16</f>
        <v>3</v>
      </c>
      <c r="H15" s="10">
        <f>IF(AND(F15=1,F14=1,F16=1),0,IF(F15=2,1,IF(F15=0,3,2)))</f>
        <v>0</v>
      </c>
      <c r="I15" s="10">
        <f>IF(H15&lt;&gt;0,0,IF(AND(F15=F14,F15=F16,G15=G14,G15=G16),0,_xlfn.RANK.EQ(G15,G14:G16,0)))</f>
        <v>1</v>
      </c>
      <c r="J15" s="10">
        <f>IF(OR(G15=G14,G15=G16),IF(AND(I15=I14,X16&gt;V16),0,IF(AND(I15=I16,V14&gt;X14),0,1)),0)</f>
        <v>0</v>
      </c>
      <c r="K15" s="10">
        <f>((V14/X14)+(X16/V16))/2</f>
        <v>1.9166666666666667</v>
      </c>
      <c r="L15" s="10">
        <f t="shared" ref="L15:L16" si="3">H15+I15+J15</f>
        <v>1</v>
      </c>
      <c r="M15" s="10">
        <f>IF(AND(F15=F14,F15=F16),0,IF(AND(L15=L14,L15=L16),_xlfn.RANK.EQ(D15,D14:D16,1),0))</f>
        <v>0</v>
      </c>
      <c r="N15" s="10" t="b">
        <f>IF(L15=0,IF(M15=0,IF(AND(K15=K14,K15=K16),0,_xlfn.RANK.EQ(K15,K14:K16,0)),0))</f>
        <v>0</v>
      </c>
      <c r="O15" s="10">
        <f>IF((L15+M15+N15)=0,_xlfn.RANK.EQ(D15,D14:D16,1),L15+M15+N15)</f>
        <v>1</v>
      </c>
      <c r="P15" s="10"/>
      <c r="Q15" s="10"/>
      <c r="R15" s="10">
        <f>O15</f>
        <v>1</v>
      </c>
      <c r="S15" s="10" t="s">
        <v>19</v>
      </c>
      <c r="U15" s="3" t="str">
        <f>E14</f>
        <v>JONATHAS DE LIMA - ANDERSON ROTAVA</v>
      </c>
      <c r="V15" s="11">
        <v>4</v>
      </c>
      <c r="W15" s="2" t="s">
        <v>17</v>
      </c>
      <c r="X15" s="11">
        <v>6</v>
      </c>
      <c r="Y15" s="3" t="str">
        <f>E16</f>
        <v>ANDRE BRUGNERA - LUCIO PELANDA</v>
      </c>
    </row>
    <row r="16" spans="2:25" ht="15.75" thickBot="1" x14ac:dyDescent="0.3">
      <c r="B16" t="str">
        <f t="shared" si="2"/>
        <v>3.B</v>
      </c>
      <c r="C16" s="8">
        <v>6</v>
      </c>
      <c r="D16" s="9">
        <f>VLOOKUP(C16,[1]INSC!A:G,7,FALSE())</f>
        <v>30</v>
      </c>
      <c r="E16" s="3" t="str">
        <f>VLOOKUP(C16,[1]INSC!A:G,4,FALSE())</f>
        <v>ANDRE BRUGNERA - LUCIO PELANDA</v>
      </c>
      <c r="F16" s="10">
        <f>IF(X14&gt;V14,1,0)+IF(X15&gt;V15,1,0)</f>
        <v>1</v>
      </c>
      <c r="G16" s="10">
        <f>X14-V14+X15-V15</f>
        <v>-2</v>
      </c>
      <c r="H16" s="10">
        <f>IF(AND(F16=1,F14=1,F15=1),0,IF(F16=2,1,IF(F16=0,3,2)))</f>
        <v>0</v>
      </c>
      <c r="I16" s="10">
        <f>IF(H16&lt;&gt;0,0,IF(AND(F16=F14,F16=F15,G16=G14,G16=G15),0,_xlfn.RANK.EQ(G16,G14:G16,0)))</f>
        <v>3</v>
      </c>
      <c r="J16" s="10">
        <f>IF(OR(G16=G14,G16=G15),IF(AND(I16=I14,X15&gt;V15),0,IF(AND(I16=I15,X14&gt;V14),0,1)),0)</f>
        <v>0</v>
      </c>
      <c r="K16" s="10">
        <f>((X14/V14)+(X15/V15))/2</f>
        <v>0.91666666666666663</v>
      </c>
      <c r="L16" s="10">
        <f t="shared" si="3"/>
        <v>3</v>
      </c>
      <c r="M16" s="10">
        <f>IF(AND(F16=F14,F16=F15),0,IF(AND(L16=L14,L16=L15),_xlfn.RANK.EQ(D16,D14:D16,1),0))</f>
        <v>0</v>
      </c>
      <c r="N16" s="10" t="b">
        <f>IF(L16=0,IF(M16=0,IF(AND(K16=K14,K16=K15),0,_xlfn.RANK.EQ(K16,K14:K16,0)),0))</f>
        <v>0</v>
      </c>
      <c r="O16" s="10">
        <f>IF((L16+M16+N16)=0,_xlfn.RANK.EQ(D16,D14:D16,1),L16+M16+N16)</f>
        <v>3</v>
      </c>
      <c r="P16" s="10"/>
      <c r="Q16" s="10"/>
      <c r="R16" s="10">
        <f>O16</f>
        <v>3</v>
      </c>
      <c r="S16" s="10" t="s">
        <v>19</v>
      </c>
      <c r="U16" s="3" t="str">
        <f>E14</f>
        <v>JONATHAS DE LIMA - ANDERSON ROTAVA</v>
      </c>
      <c r="V16" s="11">
        <v>6</v>
      </c>
      <c r="W16" s="2" t="s">
        <v>17</v>
      </c>
      <c r="X16" s="11">
        <v>5</v>
      </c>
      <c r="Y16" s="3" t="str">
        <f>E15</f>
        <v>ANDERSON FRIZZO - ALEX MARICAL</v>
      </c>
    </row>
    <row r="17" spans="1:26" ht="15.75" thickTop="1" x14ac:dyDescent="0.25">
      <c r="A17" s="27"/>
      <c r="B17" s="28"/>
      <c r="C17" s="29"/>
      <c r="D17" s="29"/>
      <c r="E17" s="28"/>
      <c r="F17" s="2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8"/>
      <c r="U17" s="28"/>
      <c r="V17" s="30"/>
      <c r="W17" s="31"/>
      <c r="X17" s="30"/>
      <c r="Y17" s="28"/>
      <c r="Z17" s="32"/>
    </row>
    <row r="18" spans="1:26" x14ac:dyDescent="0.25">
      <c r="A18" s="33"/>
      <c r="B18" s="15"/>
      <c r="C18" s="16" t="s">
        <v>20</v>
      </c>
      <c r="D18" s="16"/>
      <c r="E18" s="17"/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7"/>
      <c r="V18" s="16"/>
      <c r="W18" s="16"/>
      <c r="X18" s="16"/>
      <c r="Y18" s="17"/>
      <c r="Z18" s="34"/>
    </row>
    <row r="19" spans="1:26" x14ac:dyDescent="0.25">
      <c r="A19" s="33"/>
      <c r="B19" s="15"/>
      <c r="C19" s="18" t="s">
        <v>2</v>
      </c>
      <c r="D19" s="18" t="s">
        <v>3</v>
      </c>
      <c r="E19" s="19" t="s">
        <v>4</v>
      </c>
      <c r="F19" s="18" t="s">
        <v>5</v>
      </c>
      <c r="G19" s="18" t="s">
        <v>6</v>
      </c>
      <c r="H19" s="20" t="s">
        <v>7</v>
      </c>
      <c r="I19" s="20" t="s">
        <v>8</v>
      </c>
      <c r="J19" s="18" t="s">
        <v>9</v>
      </c>
      <c r="K19" s="18" t="s">
        <v>10</v>
      </c>
      <c r="L19" s="18" t="s">
        <v>11</v>
      </c>
      <c r="M19" s="18" t="s">
        <v>12</v>
      </c>
      <c r="N19" s="18" t="s">
        <v>13</v>
      </c>
      <c r="O19" s="18" t="s">
        <v>14</v>
      </c>
      <c r="P19" s="18"/>
      <c r="Q19" s="18"/>
      <c r="R19" s="18" t="s">
        <v>15</v>
      </c>
      <c r="S19" s="18"/>
      <c r="T19" s="15"/>
      <c r="U19" s="18"/>
      <c r="V19" s="18"/>
      <c r="W19" s="21"/>
      <c r="X19" s="18"/>
      <c r="Y19" s="18"/>
      <c r="Z19" s="34"/>
    </row>
    <row r="20" spans="1:26" x14ac:dyDescent="0.25">
      <c r="A20" s="33"/>
      <c r="B20" s="15" t="str">
        <f>R20&amp;"."&amp;S20</f>
        <v>2.C</v>
      </c>
      <c r="C20" s="22">
        <v>8</v>
      </c>
      <c r="D20" s="23">
        <f>VLOOKUP(C20,[1]INSC!A:G,7,FALSE())</f>
        <v>34</v>
      </c>
      <c r="E20" s="17" t="str">
        <f>VLOOKUP(C20,[1]INSC!A:G,4,FALSE())</f>
        <v>JOAO CARLOS - VITOR ZAMPOL</v>
      </c>
      <c r="F20" s="24">
        <f>IF(V20&gt;X20,1,0)+IF(V22&gt;X22,1,0)+IF(V25&gt;X25,1,0)</f>
        <v>2</v>
      </c>
      <c r="G20" s="24">
        <f>V20-X20+V22-X22+V25-X25</f>
        <v>7</v>
      </c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>
        <v>2</v>
      </c>
      <c r="S20" s="24" t="s">
        <v>21</v>
      </c>
      <c r="T20" s="15"/>
      <c r="U20" s="17" t="str">
        <f>E20</f>
        <v>JOAO CARLOS - VITOR ZAMPOL</v>
      </c>
      <c r="V20" s="25">
        <v>6</v>
      </c>
      <c r="W20" s="16" t="s">
        <v>17</v>
      </c>
      <c r="X20" s="25">
        <v>2</v>
      </c>
      <c r="Y20" s="17" t="str">
        <f>E23</f>
        <v>JHONNATH SIMON - MARCELO ROCHA</v>
      </c>
      <c r="Z20" s="34"/>
    </row>
    <row r="21" spans="1:26" x14ac:dyDescent="0.25">
      <c r="A21" s="33"/>
      <c r="B21" s="15" t="str">
        <f t="shared" ref="B21:B23" si="4">R21&amp;"."&amp;S21</f>
        <v>1.C</v>
      </c>
      <c r="C21" s="22">
        <v>9</v>
      </c>
      <c r="D21" s="23">
        <f>VLOOKUP(C21,[1]INSC!A:G,7,FALSE())</f>
        <v>36</v>
      </c>
      <c r="E21" s="17" t="str">
        <f>VLOOKUP(C21,[1]INSC!A:G,4,FALSE())</f>
        <v>KLEBER DE OLIVEIRA - RICARDO TORQUES</v>
      </c>
      <c r="F21" s="24">
        <f>IF(V21&gt;X21,1,0)+IF(V23&gt;X23,1,0)+IF(X25&gt;V25,1,0)</f>
        <v>2</v>
      </c>
      <c r="G21" s="24">
        <f>V21-X21+V23-X23+X25-V25</f>
        <v>3</v>
      </c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>
        <v>1</v>
      </c>
      <c r="S21" s="24" t="s">
        <v>21</v>
      </c>
      <c r="T21" s="15"/>
      <c r="U21" s="17" t="str">
        <f>E21</f>
        <v>KLEBER DE OLIVEIRA - RICARDO TORQUES</v>
      </c>
      <c r="V21" s="25">
        <v>6</v>
      </c>
      <c r="W21" s="16" t="s">
        <v>17</v>
      </c>
      <c r="X21" s="25">
        <v>3</v>
      </c>
      <c r="Y21" s="17" t="str">
        <f>E22</f>
        <v>LUCAS TOREGEANI - JOAO BUZZI</v>
      </c>
      <c r="Z21" s="34"/>
    </row>
    <row r="22" spans="1:26" x14ac:dyDescent="0.25">
      <c r="A22" s="33"/>
      <c r="B22" s="15" t="str">
        <f t="shared" si="4"/>
        <v>3.C</v>
      </c>
      <c r="C22" s="22">
        <v>10</v>
      </c>
      <c r="D22" s="23">
        <f>VLOOKUP(C22,[1]INSC!A:G,7,FALSE())</f>
        <v>38</v>
      </c>
      <c r="E22" s="17" t="str">
        <f>VLOOKUP(C22,[1]INSC!A:G,4,FALSE())</f>
        <v>LUCAS TOREGEANI - JOAO BUZZI</v>
      </c>
      <c r="F22" s="24">
        <f>IF(X21&gt;V21,1,0)+IF(X22&gt;V22,1,0)+IF(V24&gt;X24,1,0)</f>
        <v>0</v>
      </c>
      <c r="G22" s="24">
        <f>X21-V21+X22-V22+V24-X24</f>
        <v>-10</v>
      </c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>
        <v>3</v>
      </c>
      <c r="S22" s="24" t="s">
        <v>21</v>
      </c>
      <c r="T22" s="15"/>
      <c r="U22" s="17" t="str">
        <f>E20</f>
        <v>JOAO CARLOS - VITOR ZAMPOL</v>
      </c>
      <c r="V22" s="25">
        <v>6</v>
      </c>
      <c r="W22" s="16" t="s">
        <v>17</v>
      </c>
      <c r="X22" s="25">
        <v>1</v>
      </c>
      <c r="Y22" s="17" t="str">
        <f>E22</f>
        <v>LUCAS TOREGEANI - JOAO BUZZI</v>
      </c>
      <c r="Z22" s="34"/>
    </row>
    <row r="23" spans="1:26" x14ac:dyDescent="0.25">
      <c r="A23" s="33"/>
      <c r="B23" s="15" t="str">
        <f t="shared" si="4"/>
        <v>4.C</v>
      </c>
      <c r="C23" s="22">
        <v>11</v>
      </c>
      <c r="D23" s="23">
        <f>VLOOKUP(C23,[1]INSC!A:G,7,FALSE())</f>
        <v>40</v>
      </c>
      <c r="E23" s="17" t="str">
        <f>VLOOKUP(C23,[1]INSC!A:G,4,FALSE())</f>
        <v>JHONNATH SIMON - MARCELO ROCHA</v>
      </c>
      <c r="F23" s="24">
        <f>IF(X20&gt;V20,1,0)+IF(X23&gt;V23,1,0)+IF(X24&gt;V24,1,0)</f>
        <v>2</v>
      </c>
      <c r="G23" s="24">
        <f>X20-V20+X23-V23+X24-V24</f>
        <v>0</v>
      </c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>
        <v>4</v>
      </c>
      <c r="S23" s="24" t="s">
        <v>21</v>
      </c>
      <c r="T23" s="15"/>
      <c r="U23" s="17" t="str">
        <f>E21</f>
        <v>KLEBER DE OLIVEIRA - RICARDO TORQUES</v>
      </c>
      <c r="V23" s="25">
        <v>4</v>
      </c>
      <c r="W23" s="16" t="s">
        <v>17</v>
      </c>
      <c r="X23" s="25">
        <v>6</v>
      </c>
      <c r="Y23" s="17" t="str">
        <f>E23</f>
        <v>JHONNATH SIMON - MARCELO ROCHA</v>
      </c>
      <c r="Z23" s="34"/>
    </row>
    <row r="24" spans="1:26" x14ac:dyDescent="0.25">
      <c r="A24" s="33"/>
      <c r="B24" s="15"/>
      <c r="C24" s="26"/>
      <c r="D24" s="26"/>
      <c r="E24" s="15"/>
      <c r="F24" s="1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5"/>
      <c r="U24" s="17" t="str">
        <f>E22</f>
        <v>LUCAS TOREGEANI - JOAO BUZZI</v>
      </c>
      <c r="V24" s="25">
        <v>4</v>
      </c>
      <c r="W24" s="16" t="s">
        <v>17</v>
      </c>
      <c r="X24" s="25">
        <v>6</v>
      </c>
      <c r="Y24" s="17" t="str">
        <f>E23</f>
        <v>JHONNATH SIMON - MARCELO ROCHA</v>
      </c>
      <c r="Z24" s="34"/>
    </row>
    <row r="25" spans="1:26" x14ac:dyDescent="0.25">
      <c r="A25" s="33"/>
      <c r="B25" s="15"/>
      <c r="C25" s="26"/>
      <c r="D25" s="26"/>
      <c r="E25" s="15"/>
      <c r="F25" s="1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5"/>
      <c r="U25" s="17" t="str">
        <f>E20</f>
        <v>JOAO CARLOS - VITOR ZAMPOL</v>
      </c>
      <c r="V25" s="25">
        <v>4</v>
      </c>
      <c r="W25" s="16" t="s">
        <v>17</v>
      </c>
      <c r="X25" s="25">
        <v>6</v>
      </c>
      <c r="Y25" s="17" t="str">
        <f>E21</f>
        <v>KLEBER DE OLIVEIRA - RICARDO TORQUES</v>
      </c>
      <c r="Z25" s="34"/>
    </row>
    <row r="26" spans="1:26" ht="15.75" thickBot="1" x14ac:dyDescent="0.3">
      <c r="A26" s="35"/>
      <c r="B26" s="36"/>
      <c r="C26" s="37"/>
      <c r="D26" s="37"/>
      <c r="E26" s="36"/>
      <c r="F26" s="3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6"/>
      <c r="U26" s="36"/>
      <c r="V26" s="38"/>
      <c r="W26" s="39"/>
      <c r="X26" s="38"/>
      <c r="Y26" s="36"/>
      <c r="Z26" s="40"/>
    </row>
    <row r="27" spans="1:26" ht="15.75" thickTop="1" x14ac:dyDescent="0.25">
      <c r="C27" s="1" t="s">
        <v>22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30" spans="1:26" x14ac:dyDescent="0.25">
      <c r="C30" s="2" t="s">
        <v>1</v>
      </c>
      <c r="D30" s="2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  <c r="U30" s="3"/>
      <c r="V30" s="2"/>
      <c r="W30" s="2"/>
      <c r="X30" s="2"/>
      <c r="Y30" s="3"/>
    </row>
    <row r="31" spans="1:26" x14ac:dyDescent="0.25">
      <c r="C31" s="4" t="s">
        <v>2</v>
      </c>
      <c r="D31" s="4" t="s">
        <v>3</v>
      </c>
      <c r="E31" s="5" t="s">
        <v>4</v>
      </c>
      <c r="F31" s="4" t="s">
        <v>5</v>
      </c>
      <c r="G31" s="4" t="s">
        <v>6</v>
      </c>
      <c r="H31" s="6" t="s">
        <v>7</v>
      </c>
      <c r="I31" s="6" t="s">
        <v>8</v>
      </c>
      <c r="J31" s="4" t="s">
        <v>9</v>
      </c>
      <c r="K31" s="4" t="s">
        <v>10</v>
      </c>
      <c r="L31" s="4" t="s">
        <v>11</v>
      </c>
      <c r="M31" s="4" t="s">
        <v>12</v>
      </c>
      <c r="N31" s="4" t="s">
        <v>13</v>
      </c>
      <c r="O31" s="4" t="s">
        <v>14</v>
      </c>
      <c r="P31" s="4"/>
      <c r="Q31" s="4"/>
      <c r="R31" s="4" t="s">
        <v>15</v>
      </c>
      <c r="S31" s="4"/>
      <c r="U31" s="4"/>
      <c r="V31" s="4"/>
      <c r="W31" s="7"/>
      <c r="X31" s="4"/>
      <c r="Y31" s="4"/>
    </row>
    <row r="32" spans="1:26" x14ac:dyDescent="0.25">
      <c r="B32" t="str">
        <f t="shared" ref="B32:B34" si="5">R32&amp;"."&amp;S32</f>
        <v>2.A</v>
      </c>
      <c r="C32" s="8" t="s">
        <v>23</v>
      </c>
      <c r="D32" s="9">
        <f>VLOOKUP($C32,$B$6:$R$26,3,FALSE())</f>
        <v>22</v>
      </c>
      <c r="E32" s="3" t="str">
        <f>VLOOKUP($C32,$B$6:$R$26,4,FALSE())</f>
        <v>THIAGO COLOSIO - EDUARDO GAMBINI</v>
      </c>
      <c r="F32" s="10">
        <f>IF(V33&gt;X33,1,0)+IF(V34&gt;X34,1,0)</f>
        <v>1</v>
      </c>
      <c r="G32" s="10">
        <f>V33-X33+V34-X34</f>
        <v>-1</v>
      </c>
      <c r="H32" s="10">
        <f>IF(AND(F32=1,F33=1,F34=1),0,IF(F32=2,1,IF(F32=0,3,2)))</f>
        <v>0</v>
      </c>
      <c r="I32" s="10">
        <f>IF(H32&lt;&gt;0,0,IF(AND(F32=F33,F32=F34,G32=G33,G32=G34),0,_xlfn.RANK.EQ(G32,G32:G34,0)))</f>
        <v>2</v>
      </c>
      <c r="J32" s="10">
        <f>IF(OR(G32=G33,G32=G34),IF(AND(I32=I33,V34&gt;X34),0,IF(AND(I32=I34,V33&gt;X33),0,1)),0)</f>
        <v>0</v>
      </c>
      <c r="K32" s="10">
        <f>((V33/X33)+(V34/X34))/2</f>
        <v>0.93333333333333335</v>
      </c>
      <c r="L32" s="10">
        <f>H32+I32+J32</f>
        <v>2</v>
      </c>
      <c r="M32" s="10">
        <f>IF(AND(F32=F33,F32=F34),0,IF(AND(L32=L33,L32=L34),_xlfn.RANK.EQ(D32,D32:D34,1),0))</f>
        <v>0</v>
      </c>
      <c r="N32" s="10" t="b">
        <f>IF(L32=0,IF(M32=0,IF(AND(K32=K33,K32=K34),0,_xlfn.RANK.EQ(K32,K32:K34,0)),0))</f>
        <v>0</v>
      </c>
      <c r="O32" s="10">
        <f>IF((L32+M32+N32)=0,_xlfn.RANK.EQ(D32,D32:D34,1),L32+M32+N32)</f>
        <v>2</v>
      </c>
      <c r="P32" s="10"/>
      <c r="Q32" s="10"/>
      <c r="R32" s="10">
        <f>O32</f>
        <v>2</v>
      </c>
      <c r="S32" s="10" t="s">
        <v>16</v>
      </c>
      <c r="U32" s="3" t="str">
        <f>E33</f>
        <v>JONATHAS DE LIMA - ANDERSON ROTAVA</v>
      </c>
      <c r="V32" s="11">
        <v>6</v>
      </c>
      <c r="W32" s="2" t="s">
        <v>17</v>
      </c>
      <c r="X32" s="11">
        <v>2</v>
      </c>
      <c r="Y32" s="3" t="str">
        <f>E34</f>
        <v>JOAO CARLOS - VITOR ZAMPOL</v>
      </c>
    </row>
    <row r="33" spans="2:25" x14ac:dyDescent="0.25">
      <c r="B33" t="str">
        <f t="shared" si="5"/>
        <v>1.A</v>
      </c>
      <c r="C33" s="8" t="s">
        <v>24</v>
      </c>
      <c r="D33" s="9">
        <f>VLOOKUP($C33,$B$6:$R$26,3,FALSE())</f>
        <v>26</v>
      </c>
      <c r="E33" s="3" t="str">
        <f>VLOOKUP($C33,$B$6:$R$26,4,FALSE())</f>
        <v>JONATHAS DE LIMA - ANDERSON ROTAVA</v>
      </c>
      <c r="F33" s="10">
        <f>IF(V32&gt;X32,1,0)+IF(X34&gt;V34,1,0)</f>
        <v>1</v>
      </c>
      <c r="G33" s="10">
        <f>V32-X32+X34-V34</f>
        <v>3</v>
      </c>
      <c r="H33" s="10">
        <f>IF(AND(F33=1,F32=1,F34=1),0,IF(F33=2,1,IF(F33=0,3,2)))</f>
        <v>0</v>
      </c>
      <c r="I33" s="10">
        <f>IF(H33&lt;&gt;0,0,IF(AND(F33=F32,F33=F34,G33=G32,G33=G34),0,_xlfn.RANK.EQ(G33,G32:G34,0)))</f>
        <v>1</v>
      </c>
      <c r="J33" s="10">
        <f>IF(OR(G33=G32,G33=G34),IF(AND(I33=I32,X34&gt;V34),0,IF(AND(I33=I34,V32&gt;X32),0,1)),0)</f>
        <v>0</v>
      </c>
      <c r="K33" s="10">
        <f>((V32/X32)+(X34/V34))/2</f>
        <v>1.9166666666666667</v>
      </c>
      <c r="L33" s="10">
        <f t="shared" ref="L33:L34" si="6">H33+I33+J33</f>
        <v>1</v>
      </c>
      <c r="M33" s="10">
        <f>IF(AND(F33=F32,F33=F34),0,IF(AND(L33=L32,L33=L34),_xlfn.RANK.EQ(D33,D32:D34,1),0))</f>
        <v>0</v>
      </c>
      <c r="N33" s="10" t="b">
        <f>IF(L33=0,IF(M33=0,IF(AND(K33=K32,K33=K34),0,_xlfn.RANK.EQ(K33,K32:K34,0)),0))</f>
        <v>0</v>
      </c>
      <c r="O33" s="10">
        <f>IF((L33+M33+N33)=0,_xlfn.RANK.EQ(D33,D32:D34,1),L33+M33+N33)</f>
        <v>1</v>
      </c>
      <c r="P33" s="10"/>
      <c r="Q33" s="10"/>
      <c r="R33" s="10">
        <f>O33</f>
        <v>1</v>
      </c>
      <c r="S33" s="10" t="s">
        <v>16</v>
      </c>
      <c r="U33" s="3" t="str">
        <f>E32</f>
        <v>THIAGO COLOSIO - EDUARDO GAMBINI</v>
      </c>
      <c r="V33" s="11">
        <v>4</v>
      </c>
      <c r="W33" s="2" t="s">
        <v>17</v>
      </c>
      <c r="X33" s="11">
        <v>6</v>
      </c>
      <c r="Y33" s="3" t="str">
        <f>E34</f>
        <v>JOAO CARLOS - VITOR ZAMPOL</v>
      </c>
    </row>
    <row r="34" spans="2:25" x14ac:dyDescent="0.25">
      <c r="B34" t="str">
        <f t="shared" si="5"/>
        <v>3.A</v>
      </c>
      <c r="C34" s="8" t="s">
        <v>25</v>
      </c>
      <c r="D34" s="9">
        <f>VLOOKUP($C34,$B$6:$R$26,3,FALSE())</f>
        <v>34</v>
      </c>
      <c r="E34" s="3" t="str">
        <f>VLOOKUP($C34,$B$6:$R$26,4,FALSE())</f>
        <v>JOAO CARLOS - VITOR ZAMPOL</v>
      </c>
      <c r="F34" s="10">
        <f>IF(X32&gt;V32,1,0)+IF(X33&gt;V33,1,0)</f>
        <v>1</v>
      </c>
      <c r="G34" s="10">
        <f>X32-V32+X33-V33</f>
        <v>-2</v>
      </c>
      <c r="H34" s="10">
        <f>IF(AND(F34=1,F32=1,F33=1),0,IF(F34=2,1,IF(F34=0,3,2)))</f>
        <v>0</v>
      </c>
      <c r="I34" s="10">
        <f>IF(H34&lt;&gt;0,0,IF(AND(F34=F32,F34=F33,G34=G32,G34=G33),0,_xlfn.RANK.EQ(G34,G32:G34,0)))</f>
        <v>3</v>
      </c>
      <c r="J34" s="10">
        <f>IF(OR(G34=G32,G34=G33),IF(AND(I34=I32,X33&gt;V33),0,IF(AND(I34=I33,X32&gt;V32),0,1)),0)</f>
        <v>0</v>
      </c>
      <c r="K34" s="10">
        <f>((X32/V32)+(X33/V33))/2</f>
        <v>0.91666666666666663</v>
      </c>
      <c r="L34" s="10">
        <f t="shared" si="6"/>
        <v>3</v>
      </c>
      <c r="M34" s="10">
        <f>IF(AND(F34=F32,F34=F33),0,IF(AND(L34=L32,L34=L33),_xlfn.RANK.EQ(D34,D32:D34,1),0))</f>
        <v>0</v>
      </c>
      <c r="N34" s="10" t="b">
        <f>IF(L34=0,IF(M34=0,IF(AND(K34=K32,K34=K33),0,_xlfn.RANK.EQ(K34,K32:K34,0)),0))</f>
        <v>0</v>
      </c>
      <c r="O34" s="10">
        <f>IF((L34+M34+N34)=0,_xlfn.RANK.EQ(D34,D32:D34,1),L34+M34+N34)</f>
        <v>3</v>
      </c>
      <c r="P34" s="10"/>
      <c r="Q34" s="10"/>
      <c r="R34" s="10">
        <f>O34</f>
        <v>3</v>
      </c>
      <c r="S34" s="10" t="s">
        <v>16</v>
      </c>
      <c r="U34" s="3" t="str">
        <f>E32</f>
        <v>THIAGO COLOSIO - EDUARDO GAMBINI</v>
      </c>
      <c r="V34" s="11">
        <v>6</v>
      </c>
      <c r="W34" s="2" t="s">
        <v>17</v>
      </c>
      <c r="X34" s="11">
        <v>5</v>
      </c>
      <c r="Y34" s="3" t="str">
        <f>E33</f>
        <v>JONATHAS DE LIMA - ANDERSON ROTAVA</v>
      </c>
    </row>
    <row r="36" spans="2:25" x14ac:dyDescent="0.25">
      <c r="C36" s="2" t="s">
        <v>18</v>
      </c>
      <c r="D36" s="2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3"/>
      <c r="U36" s="3"/>
      <c r="V36" s="2"/>
      <c r="W36" s="2"/>
      <c r="X36" s="2"/>
      <c r="Y36" s="3"/>
    </row>
    <row r="37" spans="2:25" x14ac:dyDescent="0.25">
      <c r="C37" s="4" t="s">
        <v>2</v>
      </c>
      <c r="D37" s="4" t="s">
        <v>3</v>
      </c>
      <c r="E37" s="5" t="s">
        <v>4</v>
      </c>
      <c r="F37" s="4" t="s">
        <v>5</v>
      </c>
      <c r="G37" s="4" t="s">
        <v>6</v>
      </c>
      <c r="H37" s="6" t="s">
        <v>7</v>
      </c>
      <c r="I37" s="6" t="s">
        <v>8</v>
      </c>
      <c r="J37" s="4" t="s">
        <v>9</v>
      </c>
      <c r="K37" s="4" t="s">
        <v>10</v>
      </c>
      <c r="L37" s="4" t="s">
        <v>11</v>
      </c>
      <c r="M37" s="4" t="s">
        <v>12</v>
      </c>
      <c r="N37" s="4" t="s">
        <v>13</v>
      </c>
      <c r="O37" s="4" t="s">
        <v>14</v>
      </c>
      <c r="P37" s="4"/>
      <c r="Q37" s="4"/>
      <c r="R37" s="4" t="s">
        <v>15</v>
      </c>
      <c r="S37" s="4"/>
      <c r="U37" s="4"/>
      <c r="V37" s="4"/>
      <c r="W37" s="7"/>
      <c r="X37" s="4"/>
      <c r="Y37" s="4"/>
    </row>
    <row r="38" spans="2:25" x14ac:dyDescent="0.25">
      <c r="B38" t="str">
        <f t="shared" ref="B38:B40" si="7">R38&amp;"."&amp;S38</f>
        <v>2.B</v>
      </c>
      <c r="C38" s="8" t="s">
        <v>26</v>
      </c>
      <c r="D38" s="9">
        <f>VLOOKUP($C38,$B$6:$R$26,3,FALSE())</f>
        <v>28</v>
      </c>
      <c r="E38" s="3" t="str">
        <f>VLOOKUP($C38,$B$6:$R$26,4,FALSE())</f>
        <v>ANDERSON FRIZZO - ALEX MARICAL</v>
      </c>
      <c r="F38" s="10">
        <f>IF(V39&gt;X39,1,0)+IF(V40&gt;X40,1,0)</f>
        <v>1</v>
      </c>
      <c r="G38" s="10">
        <f>V39-X39+V40-X40</f>
        <v>-1</v>
      </c>
      <c r="H38" s="10">
        <f>IF(AND(F38=1,F39=1,F40=1),0,IF(F38=2,1,IF(F38=0,3,2)))</f>
        <v>0</v>
      </c>
      <c r="I38" s="10">
        <f>IF(H38&lt;&gt;0,0,IF(AND(F38=F39,F38=F40,G38=G39,G38=G40),0,_xlfn.RANK.EQ(G38,G38:G40,0)))</f>
        <v>2</v>
      </c>
      <c r="J38" s="10">
        <f>IF(OR(G38=G39,G38=G40),IF(AND(I38=I39,V40&gt;X40),0,IF(AND(I38=I40,V39&gt;X39),0,1)),0)</f>
        <v>0</v>
      </c>
      <c r="K38" s="10">
        <f>((V39/X39)+(V40/X40))/2</f>
        <v>0.93333333333333335</v>
      </c>
      <c r="L38" s="10">
        <f>H38+I38+J38</f>
        <v>2</v>
      </c>
      <c r="M38" s="10">
        <f>IF(AND(F38=F39,F38=F40),0,IF(AND(L38=L39,L38=L40),_xlfn.RANK.EQ(D38,D38:D40,1),0))</f>
        <v>0</v>
      </c>
      <c r="N38" s="10" t="b">
        <f>IF(L38=0,IF(M38=0,IF(AND(K38=K39,K38=K40),0,_xlfn.RANK.EQ(K38,K38:K40,0)),0))</f>
        <v>0</v>
      </c>
      <c r="O38" s="10">
        <f>IF((L38+M38+N38)=0,_xlfn.RANK.EQ(D38,D38:D40,1),L38+M38+N38)</f>
        <v>2</v>
      </c>
      <c r="P38" s="10"/>
      <c r="Q38" s="10"/>
      <c r="R38" s="10">
        <f>O38</f>
        <v>2</v>
      </c>
      <c r="S38" s="10" t="s">
        <v>19</v>
      </c>
      <c r="U38" s="3" t="str">
        <f>E39</f>
        <v>KLEBER DE OLIVEIRA - RICARDO TORQUES</v>
      </c>
      <c r="V38" s="11">
        <v>6</v>
      </c>
      <c r="W38" s="2" t="s">
        <v>17</v>
      </c>
      <c r="X38" s="11">
        <v>2</v>
      </c>
      <c r="Y38" s="3" t="str">
        <f>E40</f>
        <v>DIEGO MARTENDAL - TIAGO BRITO</v>
      </c>
    </row>
    <row r="39" spans="2:25" x14ac:dyDescent="0.25">
      <c r="B39" t="str">
        <f t="shared" si="7"/>
        <v>1.B</v>
      </c>
      <c r="C39" s="8" t="s">
        <v>27</v>
      </c>
      <c r="D39" s="9">
        <f>VLOOKUP($C39,$B$6:$R$26,3,FALSE())</f>
        <v>36</v>
      </c>
      <c r="E39" s="3" t="str">
        <f>VLOOKUP($C39,$B$6:$R$26,4,FALSE())</f>
        <v>KLEBER DE OLIVEIRA - RICARDO TORQUES</v>
      </c>
      <c r="F39" s="10">
        <f>IF(V38&gt;X38,1,0)+IF(X40&gt;V40,1,0)</f>
        <v>1</v>
      </c>
      <c r="G39" s="10">
        <f>V38-X38+X40-V40</f>
        <v>3</v>
      </c>
      <c r="H39" s="10">
        <f>IF(AND(F39=1,F38=1,F40=1),0,IF(F39=2,1,IF(F39=0,3,2)))</f>
        <v>0</v>
      </c>
      <c r="I39" s="10">
        <f>IF(H39&lt;&gt;0,0,IF(AND(F39=F38,F39=F40,G39=G38,G39=G40),0,_xlfn.RANK.EQ(G39,G38:G40,0)))</f>
        <v>1</v>
      </c>
      <c r="J39" s="10">
        <f>IF(OR(G39=G38,G39=G40),IF(AND(I39=I38,X40&gt;V40),0,IF(AND(I39=I40,V38&gt;X38),0,1)),0)</f>
        <v>0</v>
      </c>
      <c r="K39" s="10">
        <f>((V38/X38)+(X40/V40))/2</f>
        <v>1.9166666666666667</v>
      </c>
      <c r="L39" s="10">
        <f t="shared" ref="L39:L40" si="8">H39+I39+J39</f>
        <v>1</v>
      </c>
      <c r="M39" s="10">
        <f>IF(AND(F39=F38,F39=F40),0,IF(AND(L39=L38,L39=L40),_xlfn.RANK.EQ(D39,D38:D40,1),0))</f>
        <v>0</v>
      </c>
      <c r="N39" s="10" t="b">
        <f>IF(L39=0,IF(M39=0,IF(AND(K39=K38,K39=K40),0,_xlfn.RANK.EQ(K39,K38:K40,0)),0))</f>
        <v>0</v>
      </c>
      <c r="O39" s="10">
        <f>IF((L39+M39+N39)=0,_xlfn.RANK.EQ(D39,D38:D40,1),L39+M39+N39)</f>
        <v>1</v>
      </c>
      <c r="P39" s="10"/>
      <c r="Q39" s="10"/>
      <c r="R39" s="10">
        <f>O39</f>
        <v>1</v>
      </c>
      <c r="S39" s="10" t="s">
        <v>19</v>
      </c>
      <c r="U39" s="3" t="str">
        <f>E38</f>
        <v>ANDERSON FRIZZO - ALEX MARICAL</v>
      </c>
      <c r="V39" s="11">
        <v>4</v>
      </c>
      <c r="W39" s="2" t="s">
        <v>17</v>
      </c>
      <c r="X39" s="11">
        <v>6</v>
      </c>
      <c r="Y39" s="3" t="str">
        <f>E40</f>
        <v>DIEGO MARTENDAL - TIAGO BRITO</v>
      </c>
    </row>
    <row r="40" spans="2:25" x14ac:dyDescent="0.25">
      <c r="B40" t="str">
        <f t="shared" si="7"/>
        <v>3.B</v>
      </c>
      <c r="C40" s="8" t="s">
        <v>28</v>
      </c>
      <c r="D40" s="9">
        <f>VLOOKUP($C40,$B$6:$R$26,3,FALSE())</f>
        <v>20</v>
      </c>
      <c r="E40" s="3" t="str">
        <f>VLOOKUP($C40,$B$6:$R$26,4,FALSE())</f>
        <v>DIEGO MARTENDAL - TIAGO BRITO</v>
      </c>
      <c r="F40" s="10">
        <f>IF(X38&gt;V38,1,0)+IF(X39&gt;V39,1,0)</f>
        <v>1</v>
      </c>
      <c r="G40" s="10">
        <f>X38-V38+X39-V39</f>
        <v>-2</v>
      </c>
      <c r="H40" s="10">
        <f>IF(AND(F40=1,F38=1,F39=1),0,IF(F40=2,1,IF(F40=0,3,2)))</f>
        <v>0</v>
      </c>
      <c r="I40" s="10">
        <f>IF(H40&lt;&gt;0,0,IF(AND(F40=F38,F40=F39,G40=G38,G40=G39),0,_xlfn.RANK.EQ(G40,G38:G40,0)))</f>
        <v>3</v>
      </c>
      <c r="J40" s="10">
        <f>IF(OR(G40=G38,G40=G39),IF(AND(I40=I38,X39&gt;V39),0,IF(AND(I40=I39,X38&gt;V38),0,1)),0)</f>
        <v>0</v>
      </c>
      <c r="K40" s="10">
        <f>((X38/V38)+(X39/V39))/2</f>
        <v>0.91666666666666663</v>
      </c>
      <c r="L40" s="10">
        <f t="shared" si="8"/>
        <v>3</v>
      </c>
      <c r="M40" s="10">
        <f>IF(AND(F40=F38,F40=F39),0,IF(AND(L40=L38,L40=L39),_xlfn.RANK.EQ(D40,D38:D40,1),0))</f>
        <v>0</v>
      </c>
      <c r="N40" s="10" t="b">
        <f>IF(L40=0,IF(M40=0,IF(AND(K40=K38,K40=K39),0,_xlfn.RANK.EQ(K40,K38:K40,0)),0))</f>
        <v>0</v>
      </c>
      <c r="O40" s="10">
        <f>IF((L40+M40+N40)=0,_xlfn.RANK.EQ(D40,D38:D40,1),L40+M40+N40)</f>
        <v>3</v>
      </c>
      <c r="P40" s="10"/>
      <c r="Q40" s="10"/>
      <c r="R40" s="10">
        <f>O40</f>
        <v>3</v>
      </c>
      <c r="S40" s="10" t="s">
        <v>19</v>
      </c>
      <c r="U40" s="3" t="str">
        <f>E38</f>
        <v>ANDERSON FRIZZO - ALEX MARICAL</v>
      </c>
      <c r="V40" s="11">
        <v>6</v>
      </c>
      <c r="W40" s="2" t="s">
        <v>17</v>
      </c>
      <c r="X40" s="11">
        <v>5</v>
      </c>
      <c r="Y40" s="3" t="str">
        <f>E39</f>
        <v>KLEBER DE OLIVEIRA - RICARDO TORQUES</v>
      </c>
    </row>
    <row r="42" spans="2:25" x14ac:dyDescent="0.25">
      <c r="C42" s="1" t="s">
        <v>29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5" spans="2:25" x14ac:dyDescent="0.25">
      <c r="C45" s="13" t="s">
        <v>30</v>
      </c>
      <c r="D45" s="2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3"/>
      <c r="V45" s="2"/>
      <c r="W45" s="2"/>
      <c r="X45" s="2"/>
      <c r="Y45" s="3"/>
    </row>
    <row r="46" spans="2:25" x14ac:dyDescent="0.25">
      <c r="C46" s="4" t="s">
        <v>2</v>
      </c>
      <c r="D46" s="4" t="s">
        <v>3</v>
      </c>
      <c r="E46" s="5" t="s">
        <v>4</v>
      </c>
      <c r="F46" s="4" t="s">
        <v>5</v>
      </c>
      <c r="G46" s="4" t="s">
        <v>6</v>
      </c>
      <c r="H46" s="6" t="s">
        <v>7</v>
      </c>
      <c r="I46" s="6" t="s">
        <v>8</v>
      </c>
      <c r="J46" s="4" t="s">
        <v>9</v>
      </c>
      <c r="K46" s="4" t="s">
        <v>10</v>
      </c>
      <c r="L46" s="4" t="s">
        <v>11</v>
      </c>
      <c r="M46" s="4" t="s">
        <v>12</v>
      </c>
      <c r="N46" s="4" t="s">
        <v>13</v>
      </c>
      <c r="O46" s="4" t="s">
        <v>14</v>
      </c>
      <c r="P46" s="4"/>
      <c r="Q46" s="4"/>
      <c r="R46" s="4" t="s">
        <v>15</v>
      </c>
      <c r="S46" s="4"/>
      <c r="U46" s="4"/>
      <c r="V46" s="4"/>
      <c r="W46" s="7"/>
      <c r="X46" s="4"/>
      <c r="Y46" s="4"/>
    </row>
    <row r="47" spans="2:25" x14ac:dyDescent="0.25">
      <c r="C47" s="8" t="s">
        <v>23</v>
      </c>
      <c r="D47" s="9">
        <f>VLOOKUP($C47,$B$30:$R$41,3,FALSE())</f>
        <v>26</v>
      </c>
      <c r="E47" s="3" t="str">
        <f>VLOOKUP($C47,$B$30:$R$41,4,FALSE())</f>
        <v>JONATHAS DE LIMA - ANDERSON ROTAVA</v>
      </c>
      <c r="F47" s="10">
        <f>IF(V48&gt;X48,1,0)+IF(V49&gt;X49,1,0)</f>
        <v>1</v>
      </c>
      <c r="G47" s="10">
        <f>V48-X48+V49-X49</f>
        <v>-1</v>
      </c>
      <c r="H47" s="10">
        <f>IF(AND(F47=1,F48=1,F49=1),0,IF(F47=2,1,IF(F47=0,3,2)))</f>
        <v>0</v>
      </c>
      <c r="I47" s="10">
        <f>IF(H47&lt;&gt;0,0,IF(AND(F47=F48,F47=F49,G47=G48,G47=G49),0,_xlfn.RANK.EQ(G47,G47:G49,0)))</f>
        <v>2</v>
      </c>
      <c r="J47" s="10">
        <f>IF(OR(G47=G48,G47=G49),IF(AND(I47=I48,V49&gt;X49),0,IF(AND(I47=I49,V48&gt;X48),0,1)),0)</f>
        <v>0</v>
      </c>
      <c r="K47" s="10">
        <f>((V48/X48)+(V49/X49))/2</f>
        <v>0.93333333333333335</v>
      </c>
      <c r="L47" s="10">
        <f>H47+I47+J47</f>
        <v>2</v>
      </c>
      <c r="M47" s="10">
        <f>IF(AND(F47=F48,F47=F49),0,IF(AND(L47=L48,L47=L49),_xlfn.RANK.EQ(D47,D47:D49,1),0))</f>
        <v>0</v>
      </c>
      <c r="N47" s="10" t="b">
        <f>IF(L47=0,IF(M47=0,IF(AND(K47=K48,K47=K49),0,_xlfn.RANK.EQ(K47,K47:K49,0)),0))</f>
        <v>0</v>
      </c>
      <c r="O47" s="10">
        <f>IF((L47+M47+N47)=0,_xlfn.RANK.EQ(D47,D47:D49,1),L47+M47+N47)</f>
        <v>2</v>
      </c>
      <c r="P47" s="10"/>
      <c r="Q47" s="10"/>
      <c r="R47" s="10">
        <f>O47</f>
        <v>2</v>
      </c>
      <c r="S47" s="10"/>
      <c r="U47" s="3" t="str">
        <f>E48</f>
        <v>KLEBER DE OLIVEIRA - RICARDO TORQUES</v>
      </c>
      <c r="V47" s="11">
        <v>6</v>
      </c>
      <c r="W47" s="2" t="s">
        <v>17</v>
      </c>
      <c r="X47" s="11">
        <v>2</v>
      </c>
      <c r="Y47" s="3" t="str">
        <f>E49</f>
        <v>ANDERSON FRIZZO - ALEX MARICAL</v>
      </c>
    </row>
    <row r="48" spans="2:25" x14ac:dyDescent="0.25">
      <c r="C48" s="8" t="s">
        <v>26</v>
      </c>
      <c r="D48" s="9">
        <f>VLOOKUP($C48,$B$30:$R$41,3,FALSE())</f>
        <v>36</v>
      </c>
      <c r="E48" s="3" t="str">
        <f>VLOOKUP($C48,$B$30:$R$41,4,FALSE())</f>
        <v>KLEBER DE OLIVEIRA - RICARDO TORQUES</v>
      </c>
      <c r="F48" s="10">
        <f>IF(V47&gt;X47,1,0)+IF(X49&gt;V49,1,0)</f>
        <v>1</v>
      </c>
      <c r="G48" s="10">
        <f>V47-X47+X49-V49</f>
        <v>3</v>
      </c>
      <c r="H48" s="10">
        <f>IF(AND(F48=1,F47=1,F49=1),0,IF(F48=2,1,IF(F48=0,3,2)))</f>
        <v>0</v>
      </c>
      <c r="I48" s="10">
        <f>IF(H48&lt;&gt;0,0,IF(AND(F48=F47,F48=F49,G48=G47,G48=G49),0,_xlfn.RANK.EQ(G48,G47:G49,0)))</f>
        <v>1</v>
      </c>
      <c r="J48" s="10">
        <f>IF(OR(G48=G47,G48=G49),IF(AND(I48=I47,X49&gt;V49),0,IF(AND(I48=I49,V47&gt;X47),0,1)),0)</f>
        <v>0</v>
      </c>
      <c r="K48" s="10">
        <f>((V47/X47)+(X49/V49))/2</f>
        <v>1.9166666666666667</v>
      </c>
      <c r="L48" s="10">
        <f t="shared" ref="L48:L49" si="9">H48+I48+J48</f>
        <v>1</v>
      </c>
      <c r="M48" s="10">
        <f>IF(AND(F48=F47,F48=F49),0,IF(AND(L48=L47,L48=L49),_xlfn.RANK.EQ(D48,D47:D49,1),0))</f>
        <v>0</v>
      </c>
      <c r="N48" s="10" t="b">
        <f>IF(L48=0,IF(M48=0,IF(AND(K48=K47,K48=K49),0,_xlfn.RANK.EQ(K48,K47:K49,0)),0))</f>
        <v>0</v>
      </c>
      <c r="O48" s="10">
        <f>IF((L48+M48+N48)=0,_xlfn.RANK.EQ(D48,D47:D49,1),L48+M48+N48)</f>
        <v>1</v>
      </c>
      <c r="P48" s="10"/>
      <c r="Q48" s="10"/>
      <c r="R48" s="10">
        <f>O48</f>
        <v>1</v>
      </c>
      <c r="S48" s="10"/>
      <c r="U48" s="3" t="str">
        <f>E47</f>
        <v>JONATHAS DE LIMA - ANDERSON ROTAVA</v>
      </c>
      <c r="V48" s="11">
        <v>4</v>
      </c>
      <c r="W48" s="2" t="s">
        <v>17</v>
      </c>
      <c r="X48" s="11">
        <v>6</v>
      </c>
      <c r="Y48" s="3" t="str">
        <f>E49</f>
        <v>ANDERSON FRIZZO - ALEX MARICAL</v>
      </c>
    </row>
    <row r="49" spans="1:25" x14ac:dyDescent="0.25">
      <c r="A49" s="14" t="s">
        <v>31</v>
      </c>
      <c r="C49" s="14" t="s">
        <v>24</v>
      </c>
      <c r="D49" s="9">
        <f>VLOOKUP($C49,$B$30:$R$41,3,FALSE())</f>
        <v>28</v>
      </c>
      <c r="E49" s="3" t="str">
        <f>VLOOKUP($C49,$B$30:$R$41,4,FALSE())</f>
        <v>ANDERSON FRIZZO - ALEX MARICAL</v>
      </c>
      <c r="F49" s="10">
        <f>IF(X47&gt;V47,1,0)+IF(X48&gt;V48,1,0)</f>
        <v>1</v>
      </c>
      <c r="G49" s="10">
        <f>X47-V47+X48-V48</f>
        <v>-2</v>
      </c>
      <c r="H49" s="10">
        <f>IF(AND(F49=1,F47=1,F48=1),0,IF(F49=2,1,IF(F49=0,3,2)))</f>
        <v>0</v>
      </c>
      <c r="I49" s="10">
        <f>IF(H49&lt;&gt;0,0,IF(AND(F49=F47,F49=F48,G49=G47,G49=G48),0,_xlfn.RANK.EQ(G49,G47:G49,0)))</f>
        <v>3</v>
      </c>
      <c r="J49" s="10">
        <f>IF(OR(G49=G47,G49=G48),IF(AND(I49=I47,X48&gt;V48),0,IF(AND(I49=I48,X47&gt;V47),0,1)),0)</f>
        <v>0</v>
      </c>
      <c r="K49" s="10">
        <f>((X47/V47)+(X48/V48))/2</f>
        <v>0.91666666666666663</v>
      </c>
      <c r="L49" s="10">
        <f t="shared" si="9"/>
        <v>3</v>
      </c>
      <c r="M49" s="10">
        <f>IF(AND(F49=F47,F49=F48),0,IF(AND(L49=L47,L49=L48),_xlfn.RANK.EQ(D49,D47:D49,1),0))</f>
        <v>0</v>
      </c>
      <c r="N49" s="10" t="b">
        <f>IF(L49=0,IF(M49=0,IF(AND(K49=K47,K49=K48),0,_xlfn.RANK.EQ(K49,K47:K49,0)),0))</f>
        <v>0</v>
      </c>
      <c r="O49" s="10">
        <f>IF((L49+M49+N49)=0,_xlfn.RANK.EQ(D49,D47:D49,1),L49+M49+N49)</f>
        <v>3</v>
      </c>
      <c r="P49" s="10"/>
      <c r="Q49" s="10"/>
      <c r="R49" s="10">
        <f>O49</f>
        <v>3</v>
      </c>
      <c r="S49" s="10"/>
      <c r="U49" s="3" t="str">
        <f>E47</f>
        <v>JONATHAS DE LIMA - ANDERSON ROTAVA</v>
      </c>
      <c r="V49" s="11">
        <v>6</v>
      </c>
      <c r="W49" s="2" t="s">
        <v>17</v>
      </c>
      <c r="X49" s="11">
        <v>5</v>
      </c>
      <c r="Y49" s="3" t="str">
        <f>E48</f>
        <v>KLEBER DE OLIVEIRA - RICARDO TORQUES</v>
      </c>
    </row>
  </sheetData>
  <mergeCells count="3">
    <mergeCell ref="C3:Y4"/>
    <mergeCell ref="C27:Y28"/>
    <mergeCell ref="C42:Y4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Junior Johann</dc:creator>
  <cp:lastModifiedBy>Fabiano Junior Johann</cp:lastModifiedBy>
  <dcterms:created xsi:type="dcterms:W3CDTF">2024-01-22T14:28:43Z</dcterms:created>
  <dcterms:modified xsi:type="dcterms:W3CDTF">2024-01-22T14:29:43Z</dcterms:modified>
</cp:coreProperties>
</file>